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5.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omments2.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codeName="{28389E77-7640-9E18-AD5C-E98E2F4A8B83}"/>
  <workbookPr showInkAnnotation="0" codeName="ThisWorkbook"/>
  <mc:AlternateContent xmlns:mc="http://schemas.openxmlformats.org/markup-compatibility/2006">
    <mc:Choice Requires="x15">
      <x15ac:absPath xmlns:x15ac="http://schemas.microsoft.com/office/spreadsheetml/2010/11/ac" url="C:\Users\alex.butterwick\Downloads\"/>
    </mc:Choice>
  </mc:AlternateContent>
  <xr:revisionPtr revIDLastSave="0" documentId="13_ncr:1_{84EEC1A6-2FCC-40FD-A4B9-6DB21EC474B2}" xr6:coauthVersionLast="47" xr6:coauthVersionMax="47" xr10:uidLastSave="{00000000-0000-0000-0000-000000000000}"/>
  <workbookProtection workbookAlgorithmName="SHA-512" workbookHashValue="zsC/mbTu22fM7nTf0F/x/hgMNZNFWQbPwpFRU8jbuHkHRroLKsBcOhx88KTTtya6umI+BGdjq6q3X4pUzZxFBA==" workbookSaltValue="NmjmDmot28zASCRQ6FD5Ew==" workbookSpinCount="100000" lockStructure="1"/>
  <bookViews>
    <workbookView xWindow="28680" yWindow="-120" windowWidth="29040" windowHeight="15720" tabRatio="792" activeTab="1" xr2:uid="{00000000-000D-0000-FFFF-FFFF00000000}"/>
  </bookViews>
  <sheets>
    <sheet name="Instructions" sheetId="30" r:id="rId1"/>
    <sheet name="Project Info" sheetId="21" r:id="rId2"/>
    <sheet name="Inventory" sheetId="13" state="hidden" r:id="rId3"/>
    <sheet name="Summary" sheetId="27" state="hidden" r:id="rId4"/>
    <sheet name="Report" sheetId="23" state="hidden" r:id="rId5"/>
    <sheet name="Inspection Form" sheetId="26" state="hidden" r:id="rId6"/>
    <sheet name="Building Types" sheetId="28" state="hidden" r:id="rId7"/>
    <sheet name="DSMT Export" sheetId="31" state="hidden" r:id="rId8"/>
    <sheet name="Measure_Line_Item__c" sheetId="32" state="hidden" r:id="rId9"/>
    <sheet name="Unitary" sheetId="3" state="hidden" r:id="rId10"/>
    <sheet name="VRF" sheetId="24" state="hidden" r:id="rId11"/>
    <sheet name="Chiller" sheetId="11" state="hidden" r:id="rId12"/>
    <sheet name="PTAC" sheetId="8" state="hidden" r:id="rId13"/>
    <sheet name="CRAC" sheetId="29" state="hidden" r:id="rId14"/>
    <sheet name="RoomAC" sheetId="10" state="hidden" r:id="rId15"/>
    <sheet name="SPVAC" sheetId="7" state="hidden" r:id="rId16"/>
    <sheet name="Geothermal" sheetId="20" state="hidden" r:id="rId17"/>
    <sheet name="Equipment Lookups" sheetId="15" state="hidden" r:id="rId18"/>
    <sheet name="County to Zone" sheetId="19" state="hidden" r:id="rId19"/>
    <sheet name="EFLH" sheetId="14" state="hidden" r:id="rId20"/>
    <sheet name="Utility Admin" sheetId="25" state="hidden" r:id="rId21"/>
    <sheet name="Version Log" sheetId="18" state="hidden" r:id="rId22"/>
  </sheets>
  <functionGroups builtInGroupCount="19"/>
  <definedNames>
    <definedName name="_xlnm._FilterDatabase" localSheetId="2" hidden="1">Inventory!$A$5:$AR$32</definedName>
    <definedName name="_xleta.N" hidden="1" xlm="1">#NAME?</definedName>
    <definedName name="ACkW">'Utility Admin'!$L$2</definedName>
    <definedName name="ACkWh">'Utility Admin'!$M$2</definedName>
    <definedName name="AirCooledChiller">'Equipment Lookups'!$H$8:$H$9</definedName>
    <definedName name="AirCooledChillerCentrifugalAGreaterthan150tons">Chiller!$L$7:$M$37</definedName>
    <definedName name="AirCooledChillerCentrifugalALessthan150tons">Chiller!$D$7:$E$37</definedName>
    <definedName name="AirCooledChillerCentrifugalBGreaterthan150tons">Chiller!$P$7:$Q$37</definedName>
    <definedName name="AirCooledChillerCentrifugalBLessthan150tons">Chiller!$H$7:$I$37</definedName>
    <definedName name="AirCooledChillerScrewScrollReciprocatingAGreaterthan150tons">Chiller!$AB$7:$AC$37</definedName>
    <definedName name="AirCooledChillerScrewScrollReciprocatingALessthan150tons">Chiller!$T$7:$U$37</definedName>
    <definedName name="AirCooledChillerScrewScrollReciprocatingBGreaterthan150tons">Chiller!$AF$7:$AG$37</definedName>
    <definedName name="AirCooledChillerScrewScrollReciprocatingBLessthan150tons">Chiller!$X$7:$Y$37</definedName>
    <definedName name="APID">'DSMT Export'!$C$6</definedName>
    <definedName name="ARBuildingType">#REF!</definedName>
    <definedName name="ARCounties">ARZONE[County]</definedName>
    <definedName name="AREquipmentType">'Equipment Lookups'!$F$4:$F$9</definedName>
    <definedName name="ARUtilities">'Utility Admin'!$C$25</definedName>
    <definedName name="BaselineRow">Unitary!$A$6:$A$36</definedName>
    <definedName name="ComputerRoomAC">'Equipment Lookups'!$H$64:$H$75</definedName>
    <definedName name="ComputerRoomACAirCooledDownflow65to240kbtuh">CRAC!$F$6:$G$36</definedName>
    <definedName name="ComputerRoomACAirCooledDownflowGreaterThan240kbtuh">CRAC!$I$6:$J$36</definedName>
    <definedName name="ComputerRoomACAirCooledDownflowLessthan65kbtuh">CRAC!$C$6:$D$36</definedName>
    <definedName name="ComputerRoomACAirCooledUpflow65to240kbtuh">CRAC!$AP$6:$AQ$36</definedName>
    <definedName name="ComputerRoomACAirCooledUpflowGreaterThan240kbtuh">CRAC!$AS$6:$AT$36</definedName>
    <definedName name="ComputerRoomACAirCooledUpflowLessthan65kbtuh">CRAC!$AM$6:$AN$36</definedName>
    <definedName name="ComputerRoomACAirCooledwithFluidEconomizerDownflow65to240kbtuh">CRAC!$BZ$6:$CA$36</definedName>
    <definedName name="ComputerRoomACAirCooledwithFluidEconomizerDownflowGreaterThan240kbtuh">CRAC!$CC$6:$CD$36</definedName>
    <definedName name="ComputerRoomACAirCooledwithFluidEconomizerDownflowLessthan65kbtuh">CRAC!$BW$6:$BX$36</definedName>
    <definedName name="ComputerRoomACAirCooledwithFluidEconomizerUpflow65to240kbtuh">CRAC!$CI$6:$CJ$36</definedName>
    <definedName name="ComputerRoomACAirCooledwithFluidEconomizerUpflowGreaterThan240kbtuh">CRAC!$CL$6:$CM$36</definedName>
    <definedName name="ComputerRoomACAirCooledwithFluidEconomizerUpflowLessthan65kbtuh">CRAC!$CF$6:$CG$36</definedName>
    <definedName name="ComputerRoomACGlycolCooledDownflow65to240kbtuh">CRAC!$AG$6:$AH$36</definedName>
    <definedName name="ComputerRoomACGlycolCooledDownflowGreaterThan240kbtuh">CRAC!$AJ$6:$AK$36</definedName>
    <definedName name="ComputerRoomACGlycolCooledDownflowLessthan65kbtuh">CRAC!$AD$6:$AE$36</definedName>
    <definedName name="ComputerRoomACGlycolCooledUpflow65to240kbtuh">CRAC!$BQ$6:$BR$36</definedName>
    <definedName name="ComputerRoomACGlycolCooledUpflowGreaterThan240kbtuh">CRAC!$BT$6:$BU$36</definedName>
    <definedName name="ComputerRoomACGlycolCooledUpflowLessthan65kbtuh">CRAC!$BN$6:$BO$36</definedName>
    <definedName name="ComputerRoomACGlycolCooledwithFluidEconomizerDownflow65to240kbtuh">CRAC!$CR$6:$CS$36</definedName>
    <definedName name="ComputerRoomACGlycolCooledwithFluidEconomizerDownflowGreaterThan240kbtuh">CRAC!$CU$6:$CV$36</definedName>
    <definedName name="ComputerRoomACGlycolCooledwithFluidEconomizerDownflowLessthan65kbtuh">CRAC!$CO$6:$CP$36</definedName>
    <definedName name="ComputerRoomACGlycolCooledwithFluidEconomizerUpflow65to240kbtuh">CRAC!$DA$6:$DB$36</definedName>
    <definedName name="ComputerRoomACGlycolCooledwithFluidEconomizerUpflowGreaterThan240kbtuh">CRAC!$DD$6:$DE$36</definedName>
    <definedName name="ComputerRoomACGlycolCooledwithFluidEconomizerUpflowLessthan65kbtuh">CRAC!$CX$6:$CY$36</definedName>
    <definedName name="ComputerRoomACWaterCooledDownflow65to240kbtuh">CRAC!$O$6:$P$36</definedName>
    <definedName name="ComputerRoomACWaterCooledDownflowGreaterThan240kbtuh">CRAC!$R$6:$S$36</definedName>
    <definedName name="ComputerRoomACWaterCooledDownflowLessthan65kbtuh">CRAC!$L$6:$M$36</definedName>
    <definedName name="ComputerRoomACWaterCooledUpflow65to240kbtuh">CRAC!$AY$6:$AZ$36</definedName>
    <definedName name="ComputerRoomACWaterCooledUpflowGreaterThan240kbtuh">CRAC!$BB$6:$BC$36</definedName>
    <definedName name="ComputerRoomACWaterCooledUpflowLessthan65kbtuh">CRAC!$AV$6:$AW$36</definedName>
    <definedName name="ComputerRoomACWaterCooledwithFluidEconomizerDownflow65to240kbtuh">CRAC!$X$6:$Y$36</definedName>
    <definedName name="ComputerRoomACWaterCooledwithFluidEconomizerDownflowGreaterThan240kbtuh">CRAC!$AA$6:$AB$36</definedName>
    <definedName name="ComputerRoomACWaterCooledwithFluidEconomizerDownflowLessthan65kbtuh">CRAC!$U$6:$V$36</definedName>
    <definedName name="ComputerRoomACWaterCooledwithFluidEconomizerUpflow65to240kbtuh">CRAC!$BH$6:$BI$36</definedName>
    <definedName name="ComputerRoomACWaterCooledwithFluidEconomizerUpflowGreaterThan240kbtuh">CRAC!$BK$6:$BL$36</definedName>
    <definedName name="ComputerRoomACWaterCooledwithFluidEconomizerUpflowLessthan65kbtuh">CRAC!$BE$6:$BF$36</definedName>
    <definedName name="CPSInspection">'Inspection Form'!$S$1:$S$2</definedName>
    <definedName name="CPSPrograms">'Utility Admin'!$E$13:$E$15</definedName>
    <definedName name="discount">'Utility Admin'!$N$2</definedName>
    <definedName name="DSMTEnviro">'DSMT Export'!$C$27</definedName>
    <definedName name="EAID">'DSMT Export'!$C$5</definedName>
    <definedName name="EfficiencyFormat">"EER,kW/ton"</definedName>
    <definedName name="ERNo">'Equipment Lookups'!$B$5:$B$6</definedName>
    <definedName name="ERYes">'Equipment Lookups'!$B$4:$B$6</definedName>
    <definedName name="escalation">'Utility Admin'!$O$2</definedName>
    <definedName name="GeothermalAirConditioner">'Equipment Lookups'!$H$32:$H$33</definedName>
    <definedName name="GeothermalAirConditionerEvaporativelyCooledElecResorNone135to240kbtuh">Geothermal!$BH$7:$BI$37</definedName>
    <definedName name="GeothermalAirConditionerEvaporativelyCooledElecResorNone240to760kbtuh">Geothermal!$BP$7:$BQ$37</definedName>
    <definedName name="GeothermalAirConditionerEvaporativelyCooledElecResorNone65to135kbtuh">Geothermal!$AZ$7:$BA$37</definedName>
    <definedName name="GeothermalAirConditionerEvaporativelyCooledElecResorNoneGreaterthan760kbtuh">Geothermal!$BX$7:$BY$37</definedName>
    <definedName name="GeothermalAirConditionerEvaporativelyCooledElecResorNoneLessthan65kbtuh">Geothermal!$AR$7:$AS$37</definedName>
    <definedName name="GeothermalAirConditionerEvaporativelyCooledOther135to240kbtuh">Geothermal!$BL$7:$BM$37</definedName>
    <definedName name="GeothermalAirConditionerEvaporativelyCooledOther240to760kbtuh">Geothermal!$BT$7:$BU$37</definedName>
    <definedName name="GeothermalAirConditionerEvaporativelyCooledOther65to135kbtuh">Geothermal!$BD$7:$BE$37</definedName>
    <definedName name="GeothermalAirConditionerEvaporativelyCooledOtherGreaterthan760kbtuh">Geothermal!$CB$7:$CC$37</definedName>
    <definedName name="GeothermalAirConditionerEvaporativelyCooledOtherLessthan65kbtuh">Geothermal!$AV$7:$AW$37</definedName>
    <definedName name="GeothermalAirConditionerHeatingType">'Equipment Lookups'!$H$44:$H$45</definedName>
    <definedName name="GeothermalAirConditionerWaterCooledElecResorNone135to240kbtuh">Geothermal!$T$7:$U$37</definedName>
    <definedName name="GeothermalAirConditionerWaterCooledElecResorNone240to760kbtuh">Geothermal!$AB$7:$AC$37</definedName>
    <definedName name="GeothermalAirConditionerWaterCooledElecResorNone65to135kbtuh">Geothermal!$L$7:$M$37</definedName>
    <definedName name="GeothermalAirConditionerWaterCooledElecResorNoneGreaterthan760kbtuh">Geothermal!$AJ$7:$AK$37</definedName>
    <definedName name="GeothermalAirConditionerWaterCooledElecResorNoneLessthan65kbtuh">Geothermal!$D$7:$E$37</definedName>
    <definedName name="GeothermalAirConditionerWaterCooledOther135to240kbtuh">Geothermal!$X$7:$Y$37</definedName>
    <definedName name="GeothermalAirConditionerWaterCooledOther240to760kbtuh">Geothermal!$AF$7:$AG$37</definedName>
    <definedName name="GeothermalAirConditionerWaterCooledOther65to135kbtuh">Geothermal!$P$7:$Q$37</definedName>
    <definedName name="GeothermalAirConditionerWaterCooledOtherGreaterthan760kbtuh">Geothermal!$AN$7:$AO$37</definedName>
    <definedName name="GeothermalAirConditionerWaterCooledOtherLessthan65kbtuh">Geothermal!$H$7:$I$37</definedName>
    <definedName name="GeothermalHeatPump">'Equipment Lookups'!$H$36:$H$41</definedName>
    <definedName name="GeothermalHeatPumpBrinetoAirGroundLoop65to135kbtuh">Geothermal!$DR$7:$DT$37</definedName>
    <definedName name="GeothermalHeatPumpBrinetoAirGroundLoopLessthan65kbtuh">Geothermal!$DL$7:$DN$37</definedName>
    <definedName name="GeothermalHeatPumpBrinetoWaterGroundLoop65to135kbtuh">Geothermal!$FB$7:$FD$37</definedName>
    <definedName name="GeothermalHeatPumpBrinetoWaterGroundLoopLessthan65kbtuh">Geothermal!$EV$7:$EX$37</definedName>
    <definedName name="GeothermalHeatPumpWatertoAirGroundWater65to135kbtuh">Geothermal!$DF$7:$DH$37</definedName>
    <definedName name="GeothermalHeatPumpWatertoAirGroundWaterLessthan65kbtuh">Geothermal!$CZ$7:$DB$37</definedName>
    <definedName name="GeothermalHeatPumpWatertoAirWaterLoop17to65kbtuh">Geothermal!$CN$7:$CP$37</definedName>
    <definedName name="GeothermalHeatPumpWatertoAirWaterLoop65to135kbtuh">Geothermal!$CT$7:$CV$37</definedName>
    <definedName name="GeothermalHeatPumpWatertoAirWaterLoopLessthan17kbtuh">Geothermal!$CH$7:$CJ$37</definedName>
    <definedName name="GeothermalHeatPumpWatertoWaterGroundWater65to135kbtuh">Geothermal!$EP$7:$ER$37</definedName>
    <definedName name="GeothermalHeatPumpWatertoWaterGroundWaterLessthan65kbtuh">Geothermal!$EJ$7:$EL$37</definedName>
    <definedName name="GeothermalHeatPumpWatertoWaterWaterLoop65to135kbtuh">Geothermal!$ED$7:$EF$37</definedName>
    <definedName name="GeothermalHeatPumpWatertoWaterWaterLoopLessthan65kbtuh">Geothermal!$DX$7:$DZ$37</definedName>
    <definedName name="kWhOverride">'Project Info'!$P$17</definedName>
    <definedName name="ManufYear">'Equipment Lookups'!$D$4:$D$33</definedName>
    <definedName name="OGEARPrograms">'Utility Admin'!$E$21:$E$22</definedName>
    <definedName name="OGEOKPrograms">'Utility Admin'!$E$18:$E$20</definedName>
    <definedName name="OKBuildingType">#REF!</definedName>
    <definedName name="OKCounties">OKZONE[County]</definedName>
    <definedName name="OKEquipmentType">'Equipment Lookups'!$F$30:$F$37</definedName>
    <definedName name="OKUtilities">'Utility Admin'!$D$25</definedName>
    <definedName name="OtherInspection">'Inspection Form'!$S$2</definedName>
    <definedName name="PackagedTerminalAirConditioner">'Equipment Lookups'!$H$20:$H$21</definedName>
    <definedName name="PackagedTerminalAirConditionerNonStandardSize7kbtuhto15kbtuh">PTAC!$K$10:$L$40</definedName>
    <definedName name="PackagedTerminalAirConditionerNonStandardSizeGreaterthan15kbtuh">PTAC!$M$10:$N$40</definedName>
    <definedName name="PackagedTerminalAirConditionerNonStandardSizeLessthan7kbtuh">PTAC!$I$10:$J$40</definedName>
    <definedName name="PackagedTerminalAirConditionerStandardSize7kbtuhto15kbtuh">PTAC!$E$10:$F$40</definedName>
    <definedName name="PackagedTerminalAirConditionerStandardSizeGreaterthan15kbtuh">PTAC!$G$10:$H$40</definedName>
    <definedName name="PackagedTerminalAirConditionerStandardSizeLessthan7kbtuh">PTAC!$C$10:$D$40</definedName>
    <definedName name="PackagedTerminalHeatPump">'Equipment Lookups'!$H$24:$H$25</definedName>
    <definedName name="PackagedTerminalHeatPumpNonStandardSize7kbtuhto15kbtuh">PTAC!$AE$10:$AH$40</definedName>
    <definedName name="PackagedTerminalHeatPumpNonStandardSizeGreaterthan15kbtuh">PTAC!$AI$10:$AL$40</definedName>
    <definedName name="PackagedTerminalHeatPumpNonStandardSizeLessthan7kbtuh">PTAC!$AA$10:$AD$40</definedName>
    <definedName name="PackagedTerminalHeatPumpStandardSize7kbtuhto15kbtuh">PTAC!$S$10:$V$40</definedName>
    <definedName name="PackagedTerminalHeatPumpStandardSizeGreaterthan15kbtuh">PTAC!$W$10:$Z$40</definedName>
    <definedName name="PackagedTerminalHeatPumpStandardSizeLessthan7kbtuh">PTAC!$O$10:$R$40</definedName>
    <definedName name="_xlnm.Print_Area" localSheetId="4">Report!$A$1:$G$126</definedName>
    <definedName name="ProgramYear">_xlfn.NUMBERVALUE("20"&amp;MID(Version,2,2))</definedName>
    <definedName name="ProjectCost">'Project Info'!$D$17</definedName>
    <definedName name="ReplacementType">'Equipment Lookups'!$B$5:$B$6</definedName>
    <definedName name="RoomAirConditioner">'Equipment Lookups'!$H$12:$H$17</definedName>
    <definedName name="RoomAirConditionerCasementOnlyAll">RoomAC!$AS$7:$AT$37</definedName>
    <definedName name="RoomAirConditionerCasementSliderAll">RoomAC!$AV$7:$AW$37</definedName>
    <definedName name="RoomAirConditionerWithoutReverseCycleWithLouveredSides14to20kbtuh">RoomAC!$I$7:$J$37</definedName>
    <definedName name="RoomAirConditionerWithoutReverseCycleWithLouveredSides20to25kbtuh">RoomAC!$L$7:$M$37</definedName>
    <definedName name="RoomAirConditionerWithoutReverseCycleWithLouveredSides8to14kbtuh">RoomAC!$F$7:$G$37</definedName>
    <definedName name="RoomAirConditionerWithoutReverseCycleWithLouveredSidesGreaterthan25kbtuh">RoomAC!$O$7:$P$37</definedName>
    <definedName name="RoomAirConditionerWithoutReverseCycleWithLouveredSidesLessthan8kbtuh">RoomAC!$C$7:$D$37</definedName>
    <definedName name="RoomAirConditionerWithoutReverseCycleWithoutLouveredSides11to14kbtuh">RoomAC!$X$7:$Y$37</definedName>
    <definedName name="RoomAirConditionerWithoutReverseCycleWithoutLouveredSides14to20kbtuh">RoomAC!$AA$7:$AB$37</definedName>
    <definedName name="RoomAirConditionerWithoutReverseCycleWithoutLouveredSides8to11kbtuh">RoomAC!$U$7:$V$37</definedName>
    <definedName name="RoomAirConditionerWithoutReverseCycleWithoutLouveredSidesGreaterthan20kbtuh">RoomAC!$AD$7:$AE$37</definedName>
    <definedName name="RoomAirConditionerWithoutReverseCycleWithoutLouveredSidesLessthan8kbtuh">RoomAC!$R$7:$S$37</definedName>
    <definedName name="RoomAirConditionerWithReverseCycleWithLouveredSidesGreaterthan20kbtuh">RoomAC!$AJ$7:$AK$37</definedName>
    <definedName name="RoomAirConditionerWithReverseCycleWithLouveredSidesLessthan20kbtuh">RoomAC!$AG$7:$AH$37</definedName>
    <definedName name="RoomAirConditionerWithReverseCycleWithoutLouveredSidesGreaterthan14kbtuh">RoomAC!$AP$7:$AQ$37</definedName>
    <definedName name="RoomAirConditionerWithReverseCycleWithoutLouveredSidesLessthan14kbtuh">RoomAC!$AM$7:$AN$37</definedName>
    <definedName name="SCOP">"SCOP"</definedName>
    <definedName name="SelectedZone">EFLH!$C$1</definedName>
    <definedName name="SinglePackageVerticalAirConditioner135to240kbtuh">SPVAC!$J$7:$K$37</definedName>
    <definedName name="SinglePackageVerticalAirConditioner65to135kbtuh">SPVAC!$G$7:$H$37</definedName>
    <definedName name="SinglePackageVerticalAirConditionerLessthan65kbtuh">SPVAC!$D$7:$E$37</definedName>
    <definedName name="SinglePackageVerticalHeatPump135to240kbtuh">SPVAC!$AA$7:$AC$37</definedName>
    <definedName name="SinglePackageVerticalHeatPump65to135kbtuh">SPVAC!$V$7:$X$37</definedName>
    <definedName name="SinglePackageVerticalHeatPumpLessthan65kbtuh">SPVAC!$Q$7:$S$37</definedName>
    <definedName name="State">'Project Info'!$D$7</definedName>
    <definedName name="TRM">'Utility Admin'!$K$2</definedName>
    <definedName name="TXBuildingType">TX_EFLHSanAntonio[Building Type]</definedName>
    <definedName name="TXCounties">'County to Zone'!$G$17</definedName>
    <definedName name="TXEqDataCenter">EFLH!$X$4:$AB$4</definedName>
    <definedName name="TXEqEducationCollegeUniversity">EFLH!$V$5:$AA$5</definedName>
    <definedName name="TXEqEducationPrimarySchool">EFLH!$V$6:$AD$6</definedName>
    <definedName name="TXEqEducationSecondarySchool">EFLH!$V$7:$AD$7</definedName>
    <definedName name="TXEqFoodSalesConvenience">EFLH!$X$8:$AD$8</definedName>
    <definedName name="TXEqFoodSalesSupermarket">EFLH!$X$9:$AA$9</definedName>
    <definedName name="TXEqFoodService24hrFullServiceRest">EFLH!$X$11:$AD$11</definedName>
    <definedName name="TXEqFoodService24hrQuickServiceRest">EFLH!$X$13:$AD$13</definedName>
    <definedName name="TXEqFoodServiceFullServiceRestaurant">EFLH!$X$10:$AD$10</definedName>
    <definedName name="TXEqFoodServiceQuickServiceRestaurant">EFLH!$X$12:$AD$12</definedName>
    <definedName name="TXEqHealthcareHospital">EFLH!$V$14:$AA$14</definedName>
    <definedName name="TXEqHealthcareOutpatient">EFLH!$X$15:$AA$15</definedName>
    <definedName name="TXEqLargeMultifamilyMidriseApartment">EFLH!$V$16:$AA$16</definedName>
    <definedName name="TXEqLodgingLargeHotel">EFLH!$V$17:$AD$17</definedName>
    <definedName name="TXEqLodgingNursingHome">EFLH!$V$18:$AD$18</definedName>
    <definedName name="TXEqLodgingSmallHotel">EFLH!$X$19:$AD$19</definedName>
    <definedName name="TXEqManufacturing">EFLH!$V$31:$AA$31</definedName>
    <definedName name="TXEqMercantile24hrStandAlone">EFLH!$V$21:$AA$21</definedName>
    <definedName name="TXEqMercantileStandAlone">EFLH!$V$20:$AA$20</definedName>
    <definedName name="TXEqMercantileStripMall">EFLH!$X$22:$AD$22</definedName>
    <definedName name="TXEqOfficeLarge">EFLH!$V$23:$AA$23</definedName>
    <definedName name="TXEqOfficeMedium">EFLH!$X$24:$AA$24</definedName>
    <definedName name="TXEqOfficeSmall">EFLH!$X$25:$AD$25</definedName>
    <definedName name="TXEqOther">EFLH!$V$30:$AA$30</definedName>
    <definedName name="TXEqPublicAssembly">EFLH!$V$26:$AA$26</definedName>
    <definedName name="TXEqReligiousWorship">EFLH!$V$27:$AA$27</definedName>
    <definedName name="TXEqService">EFLH!$X$28:$AA$28</definedName>
    <definedName name="TXEqWarehouse">EFLH!$X$29:$AA$29</definedName>
    <definedName name="TXUtilities">'Utility Admin'!$E$25</definedName>
    <definedName name="UnitaryAirConditioner">'Equipment Lookups'!$H$48:$H$49</definedName>
    <definedName name="UnitaryAirConditioner135to240kbtuh">Unitary!$AH$6:$AI$36</definedName>
    <definedName name="UnitaryAirConditioner240to760kbtuh">Unitary!$AT$6:$AU$36</definedName>
    <definedName name="UnitaryAirConditioner65to135kbtuh">Unitary!$V$6:$W$36</definedName>
    <definedName name="UnitaryAirConditionerElecResorNone135to240kbtuh">Unitary!$AL$6:$AM$36</definedName>
    <definedName name="UnitaryAirConditionerElecResorNone240to760kbtuh">Unitary!$AX$6:$AY$36</definedName>
    <definedName name="UnitaryAirConditionerElecResorNone65to135kbtuh">Unitary!$Z$6:$AA$36</definedName>
    <definedName name="UnitaryAirConditionerElecResorNoneGreaterThan760kbtuh">Unitary!$BJ$6:$BK$36</definedName>
    <definedName name="UnitaryAirConditionerGreaterthan760kbtuh">Unitary!$BF$6:$BG$36</definedName>
    <definedName name="UnitaryAirConditionerHeatingType">'Equipment Lookups'!$H$56:$H$57</definedName>
    <definedName name="UnitaryAirConditionerOther135to240kbtuh">Unitary!$AP$6:$AQ$36</definedName>
    <definedName name="UnitaryAirConditionerOther240to760kbtuh">Unitary!$BB$6:$BC$36</definedName>
    <definedName name="UnitaryAirConditionerOther65to135kbtuh">Unitary!$AD$6:$AE$36</definedName>
    <definedName name="UnitaryAirConditionerOtherGreaterThan760kbtuh">Unitary!$BN$6:$BO$36</definedName>
    <definedName name="UnitaryAirConditionerPackaged45to65kbtuh">Unitary!$R$6:$S$37</definedName>
    <definedName name="UnitaryAirConditionerPackagedLessthan45kbtuh">Unitary!$J$6:$K$37</definedName>
    <definedName name="UnitaryAirConditionerSplit45to65kbtuh">Unitary!$N$6:$O$37</definedName>
    <definedName name="UnitaryAirConditionerSplitLessthan45kbtuh">Unitary!$F$6:$G$37</definedName>
    <definedName name="UnitaryHeatPump">'Equipment Lookups'!$H$52:$H$53</definedName>
    <definedName name="UnitaryHeatPump135to240kbtuh">Unitary!$DK$6:$DM$36</definedName>
    <definedName name="UnitaryHeatPump240to760kbtuh">Unitary!$EC$6:$EE$36</definedName>
    <definedName name="UnitaryHeatPump65to135kbtuh">Unitary!$CS$6:$CU$36</definedName>
    <definedName name="UnitaryHeatPumpElecResorNone135to240kbtuh">Unitary!$DQ$6:$DS$36</definedName>
    <definedName name="UnitaryHeatPumpElecResorNone240to760kbtuh">Unitary!$EI$6:$EK$36</definedName>
    <definedName name="UnitaryHeatPumpElecResorNone65to135kbtuh">Unitary!$CY$6:$DA$36</definedName>
    <definedName name="UnitaryHeatPumpElecResorNoneGreaterthan760kbtuh">Unitary!$FA$6:$FC$36</definedName>
    <definedName name="UnitaryHeatPumpGreaterthan760kbtuh">Unitary!$EU$6:$EW$36</definedName>
    <definedName name="UnitaryHeatPumpHeatingType">'Equipment Lookups'!$H$60:$H$61</definedName>
    <definedName name="UnitaryHeatPumpOther135to240kbtuh">Unitary!$DW$6:$DY$36</definedName>
    <definedName name="UnitaryHeatPumpOther240to760kbtuh">Unitary!$EO$6:$EQ$36</definedName>
    <definedName name="UnitaryHeatPumpOther65to135kbtuh">Unitary!$DE$6:$DG$36</definedName>
    <definedName name="UnitaryHeatPumpOtherGreaterthan760kbtuh">Unitary!$FG$6:$FI$36</definedName>
    <definedName name="UnitaryHeatPumpPackaged45to65kbtuh">Unitary!$CM$6:$CO$37</definedName>
    <definedName name="UnitaryHeatPumpPackagedLessthan45kbtuh">Unitary!$CA$6:$CC$37</definedName>
    <definedName name="UnitaryHeatPumpSplit45to65kbtuh">Unitary!$CG$6:$CI$37</definedName>
    <definedName name="UnitaryHeatPumpSplitLessthan45kbtuh">Unitary!$BU$6:$BW$37</definedName>
    <definedName name="Utility">'Project Info'!$I$7</definedName>
    <definedName name="Version">'Project Info'!$K$1</definedName>
    <definedName name="VRFAirConditioner135to240kbtuh">VRF!$L$7:$M$37</definedName>
    <definedName name="VRFAirConditioner65to135kbtuh">VRF!$H$7:$I$37</definedName>
    <definedName name="VRFAirConditionerGreaterThan240kbtuh">VRF!$P$7:$Q$37</definedName>
    <definedName name="VRFAirConditionerLessthan65kbtuh">VRF!$D$7:$E$37</definedName>
    <definedName name="VRFHeatPump">'Equipment Lookups'!$H$28:$H$29</definedName>
    <definedName name="VRFHeatPumpLessthan65kbtuh">VRF!$V$7:$X$37</definedName>
    <definedName name="VRFHeatPumpWithHeatRecovery135to240kbtuh">VRF!$AT$7:$AV$37</definedName>
    <definedName name="VRFHeatPumpWithHeatRecovery65to135kbtuh">VRF!$AH$7:$AJ$37</definedName>
    <definedName name="VRFHeatPumpWithHeatRecoveryGreaterthan240kbtuh">VRF!$BF$7:$BH$37</definedName>
    <definedName name="VRFHeatPumpWithoutHeatRecovery135to240kbtuh">VRF!$AN$7:$AP$37</definedName>
    <definedName name="VRFHeatPumpWithoutHeatRecovery65to135kbtuh">VRF!$AB$7:$AD$37</definedName>
    <definedName name="VRFHeatPumpWithoutHeatRecoveryGreaterthan240kbtuh">VRF!$AZ$7:$BB$37</definedName>
    <definedName name="WaterCooledChiller">'Equipment Lookups'!$H$4:$H$5</definedName>
    <definedName name="WaterCooledChillerCentrifugalA150to300tons">Chiller!$BF$7:$BG$37</definedName>
    <definedName name="WaterCooledChillerCentrifugalA300to400tons">Chiller!$BJ$7:$BK$37</definedName>
    <definedName name="WaterCooledChillerCentrifugalA400to600tons">Chiller!$BN$7:$BO$37</definedName>
    <definedName name="WaterCooledChillerCentrifugalAGreaterthan600tons">Chiller!$BR$7:$BS$37</definedName>
    <definedName name="WaterCooledChillerCentrifugalALessthan150tons">Chiller!$BB$7:$BC$37</definedName>
    <definedName name="WaterCooledChillerCentrifugalB150to300tons">Chiller!$BH$7:$BI$37</definedName>
    <definedName name="WaterCooledChillerCentrifugalB300to400tons">Chiller!$BL$7:$BM$37</definedName>
    <definedName name="WaterCooledChillerCentrifugalB400to600tons">Chiller!$BP$7:$BQ$37</definedName>
    <definedName name="WaterCooledChillerCentrifugalBGreaterthan600tons">Chiller!$BT$7:$BU$37</definedName>
    <definedName name="WaterCooledChillerCentrifugalBLessthan150tons">Chiller!$BD$7:$BE$37</definedName>
    <definedName name="WaterCooledChillerScrewScrollReciprocatingA150to300tons">Chiller!$AP$7:$AQ$37</definedName>
    <definedName name="WaterCooledChillerScrewScrollReciprocatingA300to600tons">Chiller!$AT$7:$AU$37</definedName>
    <definedName name="WaterCooledChillerScrewScrollReciprocatingA75to150tons">Chiller!$AL$7:$AM$37</definedName>
    <definedName name="WaterCooledChillerScrewScrollReciprocatingAGreaterthan600tons">Chiller!$AX$7:$AY$37</definedName>
    <definedName name="WaterCooledChillerScrewScrollReciprocatingALessthan75tons">Chiller!$AH$7:$AI$37</definedName>
    <definedName name="WaterCooledChillerScrewScrollReciprocatingB150to300tons">Chiller!$AR$7:$AS$37</definedName>
    <definedName name="WaterCooledChillerScrewScrollReciprocatingB300to600tons">Chiller!$AV$7:$AW$37</definedName>
    <definedName name="WaterCooledChillerScrewScrollReciprocatingB75to150tons">Chiller!$AN$7:$AO$37</definedName>
    <definedName name="WaterCooledChillerScrewScrollReciprocatingBGreaterthan600tons">Chiller!$AZ$7:$BA$37</definedName>
    <definedName name="WaterCooledChillerScrewScrollReciprocatingBLessthan75tons">Chiller!$AJ$7:$AK$37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32" i="13" l="1"/>
  <c r="I31" i="13"/>
  <c r="I30" i="13"/>
  <c r="I29" i="13"/>
  <c r="I28" i="13"/>
  <c r="I27" i="13"/>
  <c r="I26" i="13"/>
  <c r="I25" i="13"/>
  <c r="I24" i="13"/>
  <c r="I23" i="13"/>
  <c r="I22" i="13"/>
  <c r="I21" i="13"/>
  <c r="I20" i="13"/>
  <c r="I19" i="13"/>
  <c r="I18" i="13"/>
  <c r="I17" i="13"/>
  <c r="I16" i="13"/>
  <c r="I15" i="13"/>
  <c r="I14" i="13"/>
  <c r="I13" i="13"/>
  <c r="I12" i="13"/>
  <c r="I11" i="13"/>
  <c r="I10" i="13"/>
  <c r="I9" i="13"/>
  <c r="I8" i="13"/>
  <c r="X32" i="13"/>
  <c r="X31" i="13"/>
  <c r="X30" i="13"/>
  <c r="X29" i="13"/>
  <c r="X28" i="13"/>
  <c r="X27" i="13"/>
  <c r="X26" i="13"/>
  <c r="X25" i="13"/>
  <c r="X24" i="13"/>
  <c r="X23" i="13"/>
  <c r="X22" i="13"/>
  <c r="X21" i="13"/>
  <c r="X20" i="13"/>
  <c r="X19" i="13"/>
  <c r="X18" i="13"/>
  <c r="X17" i="13"/>
  <c r="X16" i="13"/>
  <c r="X15" i="13"/>
  <c r="X14" i="13"/>
  <c r="X13" i="13"/>
  <c r="X12" i="13"/>
  <c r="X11" i="13"/>
  <c r="X10" i="13"/>
  <c r="X9" i="13"/>
  <c r="X8" i="13"/>
  <c r="AE32" i="13"/>
  <c r="AE31" i="13"/>
  <c r="AE30" i="13"/>
  <c r="AE29" i="13"/>
  <c r="AE28" i="13"/>
  <c r="AE27" i="13"/>
  <c r="AE26" i="13"/>
  <c r="AE25" i="13"/>
  <c r="AE24" i="13"/>
  <c r="AE23" i="13"/>
  <c r="AE22" i="13"/>
  <c r="AE21" i="13"/>
  <c r="AE20" i="13"/>
  <c r="AE19" i="13"/>
  <c r="AE18" i="13"/>
  <c r="AE17" i="13"/>
  <c r="AE16" i="13"/>
  <c r="AE15" i="13"/>
  <c r="AE14" i="13"/>
  <c r="AE13" i="13"/>
  <c r="AE12" i="13"/>
  <c r="AE11" i="13"/>
  <c r="AE10" i="13"/>
  <c r="AE9" i="13"/>
  <c r="AE8" i="13"/>
  <c r="AC32" i="13"/>
  <c r="AC31" i="13"/>
  <c r="AC30" i="13"/>
  <c r="AC29" i="13"/>
  <c r="AC28" i="13"/>
  <c r="AC27" i="13"/>
  <c r="AC26" i="13"/>
  <c r="AC25" i="13"/>
  <c r="AC24" i="13"/>
  <c r="AC23" i="13"/>
  <c r="AC22" i="13"/>
  <c r="AC21" i="13"/>
  <c r="AC20" i="13"/>
  <c r="AC19" i="13"/>
  <c r="AC18" i="13"/>
  <c r="AC17" i="13"/>
  <c r="AC16" i="13"/>
  <c r="AC15" i="13"/>
  <c r="AC14" i="13"/>
  <c r="AC13" i="13"/>
  <c r="AC12" i="13"/>
  <c r="AC11" i="13"/>
  <c r="AC10" i="13"/>
  <c r="AC9" i="13"/>
  <c r="AC8" i="13"/>
  <c r="U32" i="13"/>
  <c r="U31" i="13"/>
  <c r="U30" i="13"/>
  <c r="U29" i="13"/>
  <c r="U28" i="13"/>
  <c r="U27" i="13"/>
  <c r="U26" i="13"/>
  <c r="U25" i="13"/>
  <c r="U24" i="13"/>
  <c r="U23" i="13"/>
  <c r="U22" i="13"/>
  <c r="U21" i="13"/>
  <c r="U20" i="13"/>
  <c r="U19" i="13"/>
  <c r="U18" i="13"/>
  <c r="U17" i="13"/>
  <c r="U16" i="13"/>
  <c r="U15" i="13"/>
  <c r="U14" i="13"/>
  <c r="U13" i="13"/>
  <c r="U12" i="13"/>
  <c r="U11" i="13"/>
  <c r="U10" i="13"/>
  <c r="U9" i="13"/>
  <c r="U8" i="13"/>
  <c r="S32" i="13"/>
  <c r="S31" i="13"/>
  <c r="S30" i="13"/>
  <c r="S29" i="13"/>
  <c r="S28" i="13"/>
  <c r="S27" i="13"/>
  <c r="S26" i="13"/>
  <c r="S25" i="13"/>
  <c r="S24" i="13"/>
  <c r="S23" i="13"/>
  <c r="S22" i="13"/>
  <c r="S21" i="13"/>
  <c r="S20" i="13"/>
  <c r="S19" i="13"/>
  <c r="S18" i="13"/>
  <c r="S17" i="13"/>
  <c r="S16" i="13"/>
  <c r="S15" i="13"/>
  <c r="S14" i="13"/>
  <c r="S13" i="13"/>
  <c r="S12" i="13"/>
  <c r="S11" i="13"/>
  <c r="S10" i="13"/>
  <c r="S9" i="13"/>
  <c r="S8" i="13"/>
  <c r="DH11" i="13"/>
  <c r="BS9" i="13"/>
  <c r="BU9" i="13" s="1"/>
  <c r="BS10" i="13"/>
  <c r="BU10" i="13" s="1"/>
  <c r="BS11" i="13"/>
  <c r="BU11" i="13" s="1"/>
  <c r="BS12" i="13"/>
  <c r="BU12" i="13" s="1"/>
  <c r="BS13" i="13"/>
  <c r="BU13" i="13" s="1"/>
  <c r="BS14" i="13"/>
  <c r="BU14" i="13" s="1"/>
  <c r="BS15" i="13"/>
  <c r="BU15" i="13" s="1"/>
  <c r="BS16" i="13"/>
  <c r="BU16" i="13" s="1"/>
  <c r="BS17" i="13"/>
  <c r="BU17" i="13" s="1"/>
  <c r="BS18" i="13"/>
  <c r="BU18" i="13" s="1"/>
  <c r="BS19" i="13"/>
  <c r="BU19" i="13" s="1"/>
  <c r="BS20" i="13"/>
  <c r="BU20" i="13" s="1"/>
  <c r="BS21" i="13"/>
  <c r="BU21" i="13" s="1"/>
  <c r="BS22" i="13"/>
  <c r="BU22" i="13" s="1"/>
  <c r="BS23" i="13"/>
  <c r="BU23" i="13" s="1"/>
  <c r="BS24" i="13"/>
  <c r="BU24" i="13" s="1"/>
  <c r="BS25" i="13"/>
  <c r="BU25" i="13" s="1"/>
  <c r="BS26" i="13"/>
  <c r="BU26" i="13" s="1"/>
  <c r="BS27" i="13"/>
  <c r="BU27" i="13" s="1"/>
  <c r="BS28" i="13"/>
  <c r="BU28" i="13" s="1"/>
  <c r="BS29" i="13"/>
  <c r="BU29" i="13" s="1"/>
  <c r="BS30" i="13"/>
  <c r="BU30" i="13" s="1"/>
  <c r="BS31" i="13"/>
  <c r="BU31" i="13" s="1"/>
  <c r="BS32" i="13"/>
  <c r="BU32" i="13" s="1"/>
  <c r="BS8" i="13"/>
  <c r="BU8" i="13" s="1"/>
  <c r="BL9" i="13"/>
  <c r="BL10" i="13"/>
  <c r="BL11" i="13"/>
  <c r="BL12" i="13"/>
  <c r="BL13" i="13"/>
  <c r="BL14" i="13"/>
  <c r="BL15" i="13"/>
  <c r="BL16" i="13"/>
  <c r="BL17" i="13"/>
  <c r="BL18" i="13"/>
  <c r="BL19" i="13"/>
  <c r="BL20" i="13"/>
  <c r="BL21" i="13"/>
  <c r="BL22" i="13"/>
  <c r="BL23" i="13"/>
  <c r="BL24" i="13"/>
  <c r="BL25" i="13"/>
  <c r="BL26" i="13"/>
  <c r="BL27" i="13"/>
  <c r="BL28" i="13"/>
  <c r="BL29" i="13"/>
  <c r="BL30" i="13"/>
  <c r="BL31" i="13"/>
  <c r="BL32" i="13"/>
  <c r="BL8" i="13"/>
  <c r="BC8" i="13"/>
  <c r="BC9" i="13"/>
  <c r="BC10" i="13"/>
  <c r="BC11" i="13"/>
  <c r="BC12" i="13"/>
  <c r="BC13" i="13"/>
  <c r="BC14" i="13"/>
  <c r="BC15" i="13"/>
  <c r="BC16" i="13"/>
  <c r="BC17" i="13"/>
  <c r="BC18" i="13"/>
  <c r="BC19" i="13"/>
  <c r="BC20" i="13"/>
  <c r="BC21" i="13"/>
  <c r="BC22" i="13"/>
  <c r="BC23" i="13"/>
  <c r="BC24" i="13"/>
  <c r="BC25" i="13"/>
  <c r="BC26" i="13"/>
  <c r="BC27" i="13"/>
  <c r="BC28" i="13"/>
  <c r="BC29" i="13"/>
  <c r="BC30" i="13"/>
  <c r="BC31" i="13"/>
  <c r="BC32" i="13"/>
  <c r="BF9" i="13"/>
  <c r="BF10" i="13"/>
  <c r="BF11" i="13"/>
  <c r="BF12" i="13"/>
  <c r="BF13" i="13"/>
  <c r="BF14" i="13"/>
  <c r="BF15" i="13"/>
  <c r="BF16" i="13"/>
  <c r="BF17" i="13"/>
  <c r="BF18" i="13"/>
  <c r="BF19" i="13"/>
  <c r="BF20" i="13"/>
  <c r="BF21" i="13"/>
  <c r="BF22" i="13"/>
  <c r="BF23" i="13"/>
  <c r="BF24" i="13"/>
  <c r="BF25" i="13"/>
  <c r="BF26" i="13"/>
  <c r="BF27" i="13"/>
  <c r="BF28" i="13"/>
  <c r="BF29" i="13"/>
  <c r="BF30" i="13"/>
  <c r="BF31" i="13"/>
  <c r="BF32" i="13"/>
  <c r="BF8" i="13"/>
  <c r="DH25" i="13" l="1"/>
  <c r="DH21" i="13"/>
  <c r="DH20" i="13"/>
  <c r="DH19" i="13"/>
  <c r="DH32" i="13"/>
  <c r="DH18" i="13"/>
  <c r="DH31" i="13"/>
  <c r="DH17" i="13"/>
  <c r="DH30" i="13"/>
  <c r="DH16" i="13"/>
  <c r="DH29" i="13"/>
  <c r="DH15" i="13"/>
  <c r="DH28" i="13"/>
  <c r="DH14" i="13"/>
  <c r="DH27" i="13"/>
  <c r="DH13" i="13"/>
  <c r="DH26" i="13"/>
  <c r="DH12" i="13"/>
  <c r="DH24" i="13"/>
  <c r="DH10" i="13"/>
  <c r="DH23" i="13"/>
  <c r="DH9" i="13"/>
  <c r="DH22" i="13"/>
  <c r="DH8" i="13"/>
  <c r="C6" i="3" a="1"/>
  <c r="C6" i="3" s="1"/>
  <c r="AO32" i="13"/>
  <c r="AN32" i="13"/>
  <c r="BD28" i="13" l="1"/>
  <c r="BD29" i="13"/>
  <c r="BD30" i="13"/>
  <c r="BD31" i="13"/>
  <c r="BD32" i="13"/>
  <c r="BQ30" i="13" l="1"/>
  <c r="BQ29" i="13"/>
  <c r="BQ24" i="13"/>
  <c r="BQ23" i="13"/>
  <c r="BQ22" i="13"/>
  <c r="BQ15" i="13"/>
  <c r="BQ14" i="13"/>
  <c r="BQ13" i="13"/>
  <c r="BQ11" i="13"/>
  <c r="BQ10" i="13"/>
  <c r="BQ32" i="13"/>
  <c r="BQ31" i="13"/>
  <c r="BQ27" i="13"/>
  <c r="BQ26" i="13"/>
  <c r="BQ19" i="13"/>
  <c r="BQ25" i="13"/>
  <c r="BQ20" i="13"/>
  <c r="BQ18" i="13"/>
  <c r="BQ17" i="13"/>
  <c r="BQ12" i="13"/>
  <c r="BQ16" i="13"/>
  <c r="BQ21" i="13"/>
  <c r="BQ28" i="13"/>
  <c r="D1" i="21" l="1"/>
  <c r="BN9" i="13" l="1"/>
  <c r="BN8" i="13"/>
  <c r="BP9" i="13" l="1"/>
  <c r="BR9" i="13" s="1"/>
  <c r="BP8" i="13"/>
  <c r="BR8" i="13" s="1"/>
  <c r="AH40" i="8"/>
  <c r="AF40" i="8"/>
  <c r="AH39" i="8"/>
  <c r="AF39" i="8"/>
  <c r="AH38" i="8"/>
  <c r="AF38" i="8"/>
  <c r="AH37" i="8"/>
  <c r="AF37" i="8"/>
  <c r="AH36" i="8"/>
  <c r="AF36" i="8"/>
  <c r="AH35" i="8"/>
  <c r="AF35" i="8"/>
  <c r="AH34" i="8"/>
  <c r="AF34" i="8"/>
  <c r="AH33" i="8"/>
  <c r="AF33" i="8"/>
  <c r="AH32" i="8"/>
  <c r="AF32" i="8"/>
  <c r="AH31" i="8"/>
  <c r="AF31" i="8"/>
  <c r="AH30" i="8"/>
  <c r="AF30" i="8"/>
  <c r="AH29" i="8"/>
  <c r="AF29" i="8"/>
  <c r="AH28" i="8"/>
  <c r="AF28" i="8"/>
  <c r="AH27" i="8"/>
  <c r="AF27" i="8"/>
  <c r="AH26" i="8"/>
  <c r="AF26" i="8"/>
  <c r="AH25" i="8"/>
  <c r="AF25" i="8"/>
  <c r="AH24" i="8"/>
  <c r="AF24" i="8"/>
  <c r="AH23" i="8"/>
  <c r="AF23" i="8"/>
  <c r="AH22" i="8"/>
  <c r="AF22" i="8"/>
  <c r="AH21" i="8"/>
  <c r="AF21" i="8"/>
  <c r="AH20" i="8"/>
  <c r="AF20" i="8"/>
  <c r="AH19" i="8"/>
  <c r="AF19" i="8"/>
  <c r="AH18" i="8"/>
  <c r="AF18" i="8"/>
  <c r="AH17" i="8"/>
  <c r="AF17" i="8"/>
  <c r="AH16" i="8"/>
  <c r="AF16" i="8"/>
  <c r="AH15" i="8"/>
  <c r="AF15" i="8"/>
  <c r="AH14" i="8"/>
  <c r="AF14" i="8"/>
  <c r="AH13" i="8"/>
  <c r="AF13" i="8"/>
  <c r="AH12" i="8"/>
  <c r="AF12" i="8"/>
  <c r="AH11" i="8"/>
  <c r="AF11" i="8"/>
  <c r="AH10" i="8"/>
  <c r="AF10" i="8"/>
  <c r="V27" i="8"/>
  <c r="V28" i="8"/>
  <c r="V29" i="8"/>
  <c r="V30" i="8"/>
  <c r="V31" i="8"/>
  <c r="V32" i="8"/>
  <c r="V33" i="8"/>
  <c r="V34" i="8"/>
  <c r="V35" i="8"/>
  <c r="V36" i="8"/>
  <c r="V37" i="8"/>
  <c r="V38" i="8"/>
  <c r="T27" i="8"/>
  <c r="T28" i="8"/>
  <c r="T29" i="8"/>
  <c r="T30" i="8"/>
  <c r="T31" i="8"/>
  <c r="T32" i="8"/>
  <c r="T33" i="8"/>
  <c r="T34" i="8"/>
  <c r="T35" i="8"/>
  <c r="T36" i="8"/>
  <c r="T37" i="8"/>
  <c r="T38" i="8"/>
  <c r="BQ37" i="11"/>
  <c r="BP37" i="11"/>
  <c r="BO37" i="11"/>
  <c r="BN37" i="11"/>
  <c r="AE37" i="11"/>
  <c r="AD37" i="11"/>
  <c r="AA37" i="11"/>
  <c r="Z37" i="11"/>
  <c r="W37" i="11"/>
  <c r="V37" i="11"/>
  <c r="S37" i="11"/>
  <c r="R37" i="11"/>
  <c r="B5" i="20"/>
  <c r="D11" i="20"/>
  <c r="H36" i="7" l="1"/>
  <c r="E8" i="7"/>
  <c r="E9" i="7"/>
  <c r="E10" i="7"/>
  <c r="E11" i="7"/>
  <c r="E12" i="7"/>
  <c r="E13" i="7"/>
  <c r="E14" i="7"/>
  <c r="E15" i="7"/>
  <c r="E16" i="7"/>
  <c r="E17" i="7"/>
  <c r="E18" i="7"/>
  <c r="E19" i="7"/>
  <c r="E20" i="7"/>
  <c r="E21" i="7"/>
  <c r="E22" i="7"/>
  <c r="E23" i="7"/>
  <c r="E24" i="7"/>
  <c r="E25" i="7"/>
  <c r="E26" i="7"/>
  <c r="E27" i="7"/>
  <c r="E28" i="7"/>
  <c r="E29" i="7"/>
  <c r="E30" i="7"/>
  <c r="E31" i="7"/>
  <c r="E32" i="7"/>
  <c r="E33" i="7"/>
  <c r="E34" i="7"/>
  <c r="E35" i="7"/>
  <c r="E36" i="7"/>
  <c r="E37" i="7"/>
  <c r="E7" i="7"/>
  <c r="G36" i="7"/>
  <c r="D37" i="7"/>
  <c r="D8" i="7"/>
  <c r="D9" i="7"/>
  <c r="D10" i="7"/>
  <c r="D11" i="7"/>
  <c r="D12" i="7"/>
  <c r="D13" i="7"/>
  <c r="D14" i="7"/>
  <c r="D15" i="7"/>
  <c r="D16" i="7"/>
  <c r="D17" i="7"/>
  <c r="D18" i="7"/>
  <c r="D19" i="7"/>
  <c r="D20" i="7"/>
  <c r="D21" i="7"/>
  <c r="D22" i="7"/>
  <c r="D23" i="7"/>
  <c r="D24" i="7"/>
  <c r="D25" i="7"/>
  <c r="D26" i="7"/>
  <c r="D27" i="7"/>
  <c r="D28" i="7"/>
  <c r="D29" i="7"/>
  <c r="D30" i="7"/>
  <c r="D31" i="7"/>
  <c r="D32" i="7"/>
  <c r="D33" i="7"/>
  <c r="D34" i="7"/>
  <c r="D35" i="7"/>
  <c r="D7" i="7"/>
  <c r="A7" i="24" a="1"/>
  <c r="A7" i="24" s="1"/>
  <c r="V8" i="24"/>
  <c r="V9" i="24"/>
  <c r="V10" i="24"/>
  <c r="V11" i="24"/>
  <c r="V12" i="24"/>
  <c r="V13" i="24"/>
  <c r="V14" i="24"/>
  <c r="V15" i="24"/>
  <c r="V16" i="24"/>
  <c r="V17" i="24"/>
  <c r="V18" i="24"/>
  <c r="V19" i="24"/>
  <c r="V20" i="24"/>
  <c r="V21" i="24"/>
  <c r="V22" i="24"/>
  <c r="V23" i="24"/>
  <c r="V24" i="24"/>
  <c r="V25" i="24"/>
  <c r="V26" i="24"/>
  <c r="V27" i="24"/>
  <c r="V28" i="24"/>
  <c r="V29" i="24"/>
  <c r="V30" i="24"/>
  <c r="V31" i="24"/>
  <c r="V32" i="24"/>
  <c r="V33" i="24"/>
  <c r="V34" i="24"/>
  <c r="V35" i="24"/>
  <c r="V7" i="24"/>
  <c r="W8" i="24"/>
  <c r="W9" i="24"/>
  <c r="W10" i="24"/>
  <c r="W11" i="24"/>
  <c r="W12" i="24"/>
  <c r="W13" i="24"/>
  <c r="W14" i="24"/>
  <c r="W15" i="24"/>
  <c r="W16" i="24"/>
  <c r="W17" i="24"/>
  <c r="W18" i="24"/>
  <c r="W19" i="24"/>
  <c r="W20" i="24"/>
  <c r="W21" i="24"/>
  <c r="W22" i="24"/>
  <c r="W23" i="24"/>
  <c r="W24" i="24"/>
  <c r="W25" i="24"/>
  <c r="W26" i="24"/>
  <c r="W27" i="24"/>
  <c r="W28" i="24"/>
  <c r="W29" i="24"/>
  <c r="W30" i="24"/>
  <c r="W31" i="24"/>
  <c r="W32" i="24"/>
  <c r="W33" i="24"/>
  <c r="W34" i="24"/>
  <c r="W35" i="24"/>
  <c r="W7" i="24"/>
  <c r="BG29" i="13" l="1"/>
  <c r="BG28" i="13"/>
  <c r="BG26" i="13"/>
  <c r="BG25" i="13"/>
  <c r="BG20" i="13"/>
  <c r="BD20" i="13" s="1"/>
  <c r="BG18" i="13"/>
  <c r="BD18" i="13" s="1"/>
  <c r="BG17" i="13"/>
  <c r="BD17" i="13" s="1"/>
  <c r="BG16" i="13"/>
  <c r="BD16" i="13" s="1"/>
  <c r="BI12" i="13"/>
  <c r="BJ12" i="13" s="1"/>
  <c r="BI10" i="13"/>
  <c r="BJ10" i="13" s="1"/>
  <c r="BI9" i="13"/>
  <c r="BJ9" i="13" s="1"/>
  <c r="CJ32" i="13"/>
  <c r="CJ28" i="13"/>
  <c r="CJ27" i="13"/>
  <c r="CJ26" i="13"/>
  <c r="CJ25" i="13"/>
  <c r="CJ24" i="13"/>
  <c r="CJ16" i="13"/>
  <c r="CJ12" i="13"/>
  <c r="BN32" i="13"/>
  <c r="BP32" i="13" s="1"/>
  <c r="BR32" i="13" s="1"/>
  <c r="BN31" i="13"/>
  <c r="BP31" i="13" s="1"/>
  <c r="BR31" i="13" s="1"/>
  <c r="BN30" i="13"/>
  <c r="BP30" i="13" s="1"/>
  <c r="BR30" i="13" s="1"/>
  <c r="BN29" i="13"/>
  <c r="BP29" i="13" s="1"/>
  <c r="BR29" i="13" s="1"/>
  <c r="BN25" i="13"/>
  <c r="BP25" i="13" s="1"/>
  <c r="BR25" i="13" s="1"/>
  <c r="BN19" i="13"/>
  <c r="BP19" i="13" s="1"/>
  <c r="BR19" i="13" s="1"/>
  <c r="BN17" i="13"/>
  <c r="BP17" i="13" s="1"/>
  <c r="BR17" i="13" s="1"/>
  <c r="BN16" i="13"/>
  <c r="BP16" i="13" s="1"/>
  <c r="BR16" i="13" s="1"/>
  <c r="BN15" i="13"/>
  <c r="BP15" i="13" s="1"/>
  <c r="BR15" i="13" s="1"/>
  <c r="BN14" i="13"/>
  <c r="BP14" i="13" s="1"/>
  <c r="BR14" i="13" s="1"/>
  <c r="BN13" i="13"/>
  <c r="BP13" i="13" s="1"/>
  <c r="BR13" i="13" s="1"/>
  <c r="BN12" i="13"/>
  <c r="BP12" i="13" s="1"/>
  <c r="BR12" i="13" s="1"/>
  <c r="BN10" i="13"/>
  <c r="CJ9" i="13"/>
  <c r="BG23" i="13"/>
  <c r="BD23" i="13" s="1"/>
  <c r="BN22" i="13"/>
  <c r="BP22" i="13" s="1"/>
  <c r="BR22" i="13" s="1"/>
  <c r="BG22" i="13"/>
  <c r="BD22" i="13" s="1"/>
  <c r="BG11" i="13"/>
  <c r="BN11" i="13"/>
  <c r="BN28" i="13"/>
  <c r="BP28" i="13" s="1"/>
  <c r="BR28" i="13" s="1"/>
  <c r="BN27" i="13"/>
  <c r="BP27" i="13" s="1"/>
  <c r="BR27" i="13" s="1"/>
  <c r="CJ31" i="13"/>
  <c r="CJ19" i="13"/>
  <c r="CJ15" i="13"/>
  <c r="CJ14" i="13"/>
  <c r="CJ13" i="13"/>
  <c r="BN21" i="13"/>
  <c r="BP21" i="13" s="1"/>
  <c r="BR21" i="13" s="1"/>
  <c r="BA9" i="13"/>
  <c r="BB9" i="13"/>
  <c r="BE9" i="13"/>
  <c r="BG9" i="13"/>
  <c r="BD9" i="13" s="1"/>
  <c r="BK9" i="13" a="1"/>
  <c r="BK9" i="13" s="1"/>
  <c r="DF9" i="13" s="1" a="1"/>
  <c r="DF9" i="13" s="1"/>
  <c r="DG9" i="13" s="1"/>
  <c r="BA10" i="13"/>
  <c r="BE10" i="13"/>
  <c r="BK10" i="13" a="1"/>
  <c r="BK10" i="13" s="1"/>
  <c r="DF10" i="13" s="1" a="1"/>
  <c r="DF10" i="13" s="1"/>
  <c r="DG10" i="13" s="1"/>
  <c r="BY10" i="13"/>
  <c r="CB10" i="13"/>
  <c r="BA11" i="13"/>
  <c r="BE11" i="13"/>
  <c r="BK11" i="13" a="1"/>
  <c r="BK11" i="13" s="1"/>
  <c r="DF11" i="13" s="1" a="1"/>
  <c r="DF11" i="13" s="1"/>
  <c r="DG11" i="13" s="1"/>
  <c r="BY11" i="13"/>
  <c r="CB11" i="13"/>
  <c r="CE11" i="13"/>
  <c r="CI11" i="13"/>
  <c r="CK11" i="13"/>
  <c r="BA12" i="13"/>
  <c r="BB12" i="13"/>
  <c r="BE12" i="13"/>
  <c r="BK12" i="13" a="1"/>
  <c r="BK12" i="13" s="1"/>
  <c r="DF12" i="13" s="1" a="1"/>
  <c r="DF12" i="13" s="1"/>
  <c r="DG12" i="13" s="1"/>
  <c r="BY12" i="13"/>
  <c r="CB12" i="13"/>
  <c r="CE12" i="13"/>
  <c r="CI12" i="13"/>
  <c r="CK12" i="13"/>
  <c r="DC12" i="13"/>
  <c r="DD12" i="13"/>
  <c r="DE12" i="13"/>
  <c r="BA13" i="13"/>
  <c r="BB13" i="13"/>
  <c r="BE13" i="13"/>
  <c r="BG13" i="13"/>
  <c r="BD13" i="13" s="1"/>
  <c r="BI13" i="13"/>
  <c r="BJ13" i="13" s="1"/>
  <c r="BK13" i="13" a="1"/>
  <c r="BK13" i="13" s="1"/>
  <c r="DF13" i="13" s="1" a="1"/>
  <c r="DF13" i="13" s="1"/>
  <c r="DG13" i="13" s="1"/>
  <c r="BY13" i="13"/>
  <c r="CB13" i="13"/>
  <c r="CE13" i="13"/>
  <c r="CI13" i="13"/>
  <c r="CK13" i="13"/>
  <c r="DC13" i="13"/>
  <c r="DD13" i="13"/>
  <c r="DE13" i="13"/>
  <c r="BA14" i="13"/>
  <c r="BB14" i="13"/>
  <c r="BE14" i="13"/>
  <c r="BG14" i="13"/>
  <c r="BD14" i="13" s="1"/>
  <c r="BI14" i="13"/>
  <c r="BJ14" i="13" s="1"/>
  <c r="BK14" i="13" a="1"/>
  <c r="BK14" i="13" s="1"/>
  <c r="BY14" i="13"/>
  <c r="CB14" i="13"/>
  <c r="CE14" i="13"/>
  <c r="CI14" i="13"/>
  <c r="CK14" i="13"/>
  <c r="DC14" i="13"/>
  <c r="DD14" i="13"/>
  <c r="DE14" i="13"/>
  <c r="DF14" i="13" a="1"/>
  <c r="DF14" i="13" s="1"/>
  <c r="DG14" i="13" s="1"/>
  <c r="BA15" i="13"/>
  <c r="BB15" i="13"/>
  <c r="BE15" i="13"/>
  <c r="BG15" i="13"/>
  <c r="BD15" i="13" s="1"/>
  <c r="BI15" i="13"/>
  <c r="BJ15" i="13" s="1"/>
  <c r="BK15" i="13" a="1"/>
  <c r="BK15" i="13" s="1"/>
  <c r="BY15" i="13"/>
  <c r="CB15" i="13"/>
  <c r="CE15" i="13"/>
  <c r="CI15" i="13"/>
  <c r="CK15" i="13"/>
  <c r="DC15" i="13"/>
  <c r="DD15" i="13"/>
  <c r="DE15" i="13"/>
  <c r="DF15" i="13" a="1"/>
  <c r="DF15" i="13" s="1"/>
  <c r="DG15" i="13" s="1"/>
  <c r="BA16" i="13"/>
  <c r="BB16" i="13"/>
  <c r="BE16" i="13"/>
  <c r="BK16" i="13" a="1"/>
  <c r="BK16" i="13" s="1"/>
  <c r="BY16" i="13"/>
  <c r="CB16" i="13"/>
  <c r="CE16" i="13"/>
  <c r="CI16" i="13"/>
  <c r="CK16" i="13"/>
  <c r="DC16" i="13"/>
  <c r="DD16" i="13"/>
  <c r="DE16" i="13"/>
  <c r="DF16" i="13" a="1"/>
  <c r="DF16" i="13" s="1"/>
  <c r="DG16" i="13" s="1"/>
  <c r="BA17" i="13"/>
  <c r="BB17" i="13"/>
  <c r="BE17" i="13"/>
  <c r="BK17" i="13" a="1"/>
  <c r="BK17" i="13" s="1"/>
  <c r="DF17" i="13" s="1" a="1"/>
  <c r="DF17" i="13" s="1"/>
  <c r="DG17" i="13" s="1"/>
  <c r="BY17" i="13"/>
  <c r="CB17" i="13"/>
  <c r="CE17" i="13"/>
  <c r="CI17" i="13"/>
  <c r="CK17" i="13"/>
  <c r="DC17" i="13"/>
  <c r="DD17" i="13"/>
  <c r="DE17" i="13"/>
  <c r="BA18" i="13"/>
  <c r="BB18" i="13"/>
  <c r="BE18" i="13"/>
  <c r="BI18" i="13"/>
  <c r="BJ18" i="13" s="1"/>
  <c r="BK18" i="13" a="1"/>
  <c r="BK18" i="13" s="1"/>
  <c r="DF18" i="13" s="1" a="1"/>
  <c r="DF18" i="13" s="1"/>
  <c r="DG18" i="13" s="1"/>
  <c r="BN18" i="13"/>
  <c r="BP18" i="13" s="1"/>
  <c r="BR18" i="13" s="1"/>
  <c r="BY18" i="13"/>
  <c r="CB18" i="13"/>
  <c r="CE18" i="13"/>
  <c r="CI18" i="13"/>
  <c r="CJ18" i="13"/>
  <c r="CK18" i="13"/>
  <c r="DC18" i="13"/>
  <c r="DD18" i="13"/>
  <c r="DE18" i="13"/>
  <c r="BA19" i="13"/>
  <c r="BB19" i="13"/>
  <c r="BE19" i="13"/>
  <c r="BG19" i="13"/>
  <c r="BI19" i="13"/>
  <c r="BJ19" i="13" s="1"/>
  <c r="BK19" i="13" a="1"/>
  <c r="BK19" i="13" s="1"/>
  <c r="DF19" i="13" s="1" a="1"/>
  <c r="DF19" i="13" s="1"/>
  <c r="DG19" i="13" s="1"/>
  <c r="CB19" i="13"/>
  <c r="CE19" i="13"/>
  <c r="CI19" i="13"/>
  <c r="CK19" i="13"/>
  <c r="DC19" i="13"/>
  <c r="DD19" i="13"/>
  <c r="DE19" i="13"/>
  <c r="BA20" i="13"/>
  <c r="BB20" i="13"/>
  <c r="BE20" i="13"/>
  <c r="BI20" i="13"/>
  <c r="BJ20" i="13" s="1"/>
  <c r="BK20" i="13" a="1"/>
  <c r="BK20" i="13" s="1"/>
  <c r="BN20" i="13"/>
  <c r="BP20" i="13" s="1"/>
  <c r="BR20" i="13" s="1"/>
  <c r="CB20" i="13"/>
  <c r="CE20" i="13"/>
  <c r="CI20" i="13"/>
  <c r="CK20" i="13"/>
  <c r="DC20" i="13"/>
  <c r="DD20" i="13"/>
  <c r="DE20" i="13"/>
  <c r="DF20" i="13" a="1"/>
  <c r="DF20" i="13" s="1"/>
  <c r="DG20" i="13" s="1"/>
  <c r="BA21" i="13"/>
  <c r="BB21" i="13"/>
  <c r="BE21" i="13"/>
  <c r="BG21" i="13"/>
  <c r="BI21" i="13"/>
  <c r="BJ21" i="13" s="1"/>
  <c r="BK21" i="13" a="1"/>
  <c r="BK21" i="13" s="1"/>
  <c r="BY21" i="13"/>
  <c r="CB21" i="13"/>
  <c r="CE21" i="13"/>
  <c r="CI21" i="13"/>
  <c r="CK21" i="13"/>
  <c r="DC21" i="13"/>
  <c r="DD21" i="13"/>
  <c r="DE21" i="13"/>
  <c r="DF21" i="13" a="1"/>
  <c r="DF21" i="13" s="1"/>
  <c r="DG21" i="13" s="1"/>
  <c r="BA22" i="13"/>
  <c r="BB22" i="13"/>
  <c r="BE22" i="13"/>
  <c r="BK22" i="13" a="1"/>
  <c r="BK22" i="13" s="1"/>
  <c r="BY22" i="13"/>
  <c r="CB22" i="13"/>
  <c r="CE22" i="13"/>
  <c r="CI22" i="13"/>
  <c r="CK22" i="13"/>
  <c r="DC22" i="13"/>
  <c r="DD22" i="13"/>
  <c r="DE22" i="13"/>
  <c r="DF22" i="13" a="1"/>
  <c r="DF22" i="13" s="1"/>
  <c r="DG22" i="13" s="1"/>
  <c r="BA23" i="13"/>
  <c r="BB23" i="13"/>
  <c r="BE23" i="13"/>
  <c r="BK23" i="13" a="1"/>
  <c r="BK23" i="13" s="1"/>
  <c r="DF23" i="13" s="1" a="1"/>
  <c r="DF23" i="13" s="1"/>
  <c r="DG23" i="13" s="1"/>
  <c r="BN23" i="13"/>
  <c r="BP23" i="13" s="1"/>
  <c r="BR23" i="13" s="1"/>
  <c r="CB23" i="13"/>
  <c r="CE23" i="13"/>
  <c r="CI23" i="13"/>
  <c r="CK23" i="13"/>
  <c r="DC23" i="13"/>
  <c r="DD23" i="13"/>
  <c r="DE23" i="13"/>
  <c r="BA24" i="13"/>
  <c r="BB24" i="13"/>
  <c r="BE24" i="13"/>
  <c r="BG24" i="13"/>
  <c r="BI24" i="13"/>
  <c r="BJ24" i="13" s="1"/>
  <c r="BK24" i="13" a="1"/>
  <c r="BK24" i="13" s="1"/>
  <c r="DF24" i="13" s="1" a="1"/>
  <c r="DF24" i="13" s="1"/>
  <c r="DG24" i="13" s="1"/>
  <c r="BN24" i="13"/>
  <c r="BP24" i="13" s="1"/>
  <c r="BR24" i="13" s="1"/>
  <c r="BY24" i="13"/>
  <c r="CB24" i="13"/>
  <c r="CE24" i="13"/>
  <c r="CI24" i="13"/>
  <c r="CK24" i="13"/>
  <c r="DC24" i="13"/>
  <c r="DD24" i="13"/>
  <c r="DE24" i="13"/>
  <c r="BA25" i="13"/>
  <c r="BB25" i="13"/>
  <c r="BE25" i="13"/>
  <c r="BK25" i="13" a="1"/>
  <c r="BK25" i="13" s="1"/>
  <c r="DF25" i="13" s="1" a="1"/>
  <c r="DF25" i="13" s="1"/>
  <c r="DG25" i="13" s="1"/>
  <c r="BY25" i="13"/>
  <c r="CB25" i="13"/>
  <c r="CE25" i="13"/>
  <c r="CI25" i="13"/>
  <c r="CK25" i="13"/>
  <c r="DC25" i="13"/>
  <c r="DD25" i="13"/>
  <c r="DE25" i="13"/>
  <c r="BA26" i="13"/>
  <c r="BB26" i="13"/>
  <c r="BE26" i="13"/>
  <c r="BK26" i="13" a="1"/>
  <c r="BK26" i="13" s="1"/>
  <c r="DF26" i="13" s="1" a="1"/>
  <c r="DF26" i="13" s="1"/>
  <c r="DG26" i="13" s="1"/>
  <c r="BN26" i="13"/>
  <c r="BP26" i="13" s="1"/>
  <c r="BR26" i="13" s="1"/>
  <c r="CB26" i="13"/>
  <c r="CE26" i="13"/>
  <c r="CI26" i="13"/>
  <c r="CK26" i="13"/>
  <c r="DC26" i="13"/>
  <c r="DD26" i="13"/>
  <c r="DE26" i="13"/>
  <c r="BA27" i="13"/>
  <c r="BB27" i="13"/>
  <c r="BE27" i="13"/>
  <c r="BG27" i="13"/>
  <c r="BD27" i="13" s="1"/>
  <c r="BI27" i="13"/>
  <c r="BJ27" i="13" s="1"/>
  <c r="BK27" i="13" a="1"/>
  <c r="BK27" i="13" s="1"/>
  <c r="DF27" i="13" s="1" a="1"/>
  <c r="DF27" i="13" s="1"/>
  <c r="DG27" i="13" s="1"/>
  <c r="BY27" i="13"/>
  <c r="CB27" i="13"/>
  <c r="CE27" i="13"/>
  <c r="CI27" i="13"/>
  <c r="CK27" i="13"/>
  <c r="DC27" i="13"/>
  <c r="DD27" i="13"/>
  <c r="DE27" i="13"/>
  <c r="BA28" i="13"/>
  <c r="BB28" i="13"/>
  <c r="BE28" i="13"/>
  <c r="BK28" i="13" a="1"/>
  <c r="BK28" i="13" s="1"/>
  <c r="BY28" i="13"/>
  <c r="CB28" i="13"/>
  <c r="CE28" i="13"/>
  <c r="CI28" i="13"/>
  <c r="CK28" i="13"/>
  <c r="DC28" i="13"/>
  <c r="DD28" i="13"/>
  <c r="DE28" i="13"/>
  <c r="DF28" i="13" a="1"/>
  <c r="DF28" i="13" s="1"/>
  <c r="DG28" i="13" s="1"/>
  <c r="BA29" i="13"/>
  <c r="BB29" i="13"/>
  <c r="BE29" i="13"/>
  <c r="BK29" i="13" a="1"/>
  <c r="BK29" i="13" s="1"/>
  <c r="CB29" i="13"/>
  <c r="CE29" i="13"/>
  <c r="CI29" i="13"/>
  <c r="CJ29" i="13"/>
  <c r="CK29" i="13"/>
  <c r="DC29" i="13"/>
  <c r="DD29" i="13"/>
  <c r="DE29" i="13"/>
  <c r="DF29" i="13" a="1"/>
  <c r="DF29" i="13" s="1"/>
  <c r="DG29" i="13" s="1"/>
  <c r="BA30" i="13"/>
  <c r="BB30" i="13"/>
  <c r="BE30" i="13"/>
  <c r="BG30" i="13"/>
  <c r="BI30" i="13"/>
  <c r="BJ30" i="13" s="1"/>
  <c r="BK30" i="13" a="1"/>
  <c r="BK30" i="13" s="1"/>
  <c r="CB30" i="13"/>
  <c r="CE30" i="13"/>
  <c r="CI30" i="13"/>
  <c r="CK30" i="13"/>
  <c r="DC30" i="13"/>
  <c r="DD30" i="13"/>
  <c r="DE30" i="13"/>
  <c r="DF30" i="13" a="1"/>
  <c r="DF30" i="13" s="1"/>
  <c r="DG30" i="13" s="1"/>
  <c r="BA31" i="13"/>
  <c r="BB31" i="13"/>
  <c r="BE31" i="13"/>
  <c r="BG31" i="13"/>
  <c r="BI31" i="13"/>
  <c r="BJ31" i="13" s="1"/>
  <c r="BK31" i="13" a="1"/>
  <c r="BK31" i="13" s="1"/>
  <c r="BY31" i="13"/>
  <c r="CB31" i="13"/>
  <c r="CE31" i="13"/>
  <c r="CI31" i="13"/>
  <c r="CK31" i="13"/>
  <c r="DC31" i="13"/>
  <c r="DD31" i="13"/>
  <c r="DE31" i="13"/>
  <c r="DF31" i="13" a="1"/>
  <c r="DF31" i="13" s="1"/>
  <c r="DG31" i="13" s="1"/>
  <c r="BA32" i="13"/>
  <c r="BB32" i="13"/>
  <c r="BE32" i="13"/>
  <c r="BG32" i="13"/>
  <c r="BI32" i="13"/>
  <c r="BJ32" i="13" s="1"/>
  <c r="BK32" i="13" a="1"/>
  <c r="BK32" i="13" s="1"/>
  <c r="BY32" i="13"/>
  <c r="CB32" i="13"/>
  <c r="CE32" i="13"/>
  <c r="CI32" i="13"/>
  <c r="CK32" i="13"/>
  <c r="CY32" i="13"/>
  <c r="CZ32" i="13"/>
  <c r="DA32" i="13"/>
  <c r="DB32" i="13"/>
  <c r="DC32" i="13"/>
  <c r="DD32" i="13"/>
  <c r="DE32" i="13"/>
  <c r="DF32" i="13" a="1"/>
  <c r="DF32" i="13" s="1"/>
  <c r="DG32" i="13" s="1"/>
  <c r="CJ30" i="13"/>
  <c r="CJ23" i="13"/>
  <c r="CJ22" i="13"/>
  <c r="CJ21" i="13"/>
  <c r="CJ20" i="13"/>
  <c r="CJ17" i="13"/>
  <c r="AG35" i="11"/>
  <c r="AF35" i="11"/>
  <c r="AC35" i="11"/>
  <c r="AB35" i="11"/>
  <c r="Y35" i="11"/>
  <c r="X35" i="11"/>
  <c r="U35" i="11"/>
  <c r="T35" i="11"/>
  <c r="Q35" i="11"/>
  <c r="P35" i="11"/>
  <c r="M35" i="11"/>
  <c r="L35" i="11"/>
  <c r="I35" i="11"/>
  <c r="H35" i="11"/>
  <c r="E35" i="11"/>
  <c r="D35" i="11"/>
  <c r="EW34" i="3"/>
  <c r="EV34" i="3"/>
  <c r="EU34" i="3"/>
  <c r="EE34" i="3"/>
  <c r="ED34" i="3"/>
  <c r="EC34" i="3"/>
  <c r="DM34" i="3"/>
  <c r="DL34" i="3"/>
  <c r="DK34" i="3"/>
  <c r="CU34" i="3"/>
  <c r="CT34" i="3"/>
  <c r="CS34" i="3"/>
  <c r="CO34" i="3"/>
  <c r="CN34" i="3"/>
  <c r="CM34" i="3"/>
  <c r="CI34" i="3"/>
  <c r="CH34" i="3"/>
  <c r="CG34" i="3"/>
  <c r="CC34" i="3"/>
  <c r="CB34" i="3"/>
  <c r="CA34" i="3"/>
  <c r="BW34" i="3"/>
  <c r="BV34" i="3"/>
  <c r="BU34" i="3"/>
  <c r="BG34" i="3"/>
  <c r="BF34" i="3"/>
  <c r="AU34" i="3"/>
  <c r="AT34" i="3"/>
  <c r="AI34" i="3"/>
  <c r="AH34" i="3"/>
  <c r="W34" i="3"/>
  <c r="V34" i="3"/>
  <c r="S34" i="3"/>
  <c r="R34" i="3"/>
  <c r="O34" i="3"/>
  <c r="N34" i="3"/>
  <c r="K34" i="3"/>
  <c r="J34" i="3"/>
  <c r="G34" i="3"/>
  <c r="F34" i="3"/>
  <c r="AE34" i="13"/>
  <c r="BK8" i="13" a="1"/>
  <c r="BK8" i="13" s="1"/>
  <c r="V40" i="8"/>
  <c r="V39" i="8"/>
  <c r="T40" i="8"/>
  <c r="T39" i="8"/>
  <c r="V26" i="8"/>
  <c r="V25" i="8"/>
  <c r="V24" i="8"/>
  <c r="V23" i="8"/>
  <c r="V22" i="8"/>
  <c r="V21" i="8"/>
  <c r="V20" i="8"/>
  <c r="V19" i="8"/>
  <c r="V18" i="8"/>
  <c r="V17" i="8"/>
  <c r="V16" i="8"/>
  <c r="V15" i="8"/>
  <c r="V14" i="8"/>
  <c r="V13" i="8"/>
  <c r="V12" i="8"/>
  <c r="V11" i="8"/>
  <c r="V10" i="8"/>
  <c r="T26" i="8"/>
  <c r="T25" i="8"/>
  <c r="T24" i="8"/>
  <c r="T23" i="8"/>
  <c r="T22" i="8"/>
  <c r="T21" i="8"/>
  <c r="T20" i="8"/>
  <c r="T19" i="8"/>
  <c r="T18" i="8"/>
  <c r="T17" i="8"/>
  <c r="T16" i="8"/>
  <c r="T15" i="8"/>
  <c r="T14" i="8"/>
  <c r="T13" i="8"/>
  <c r="T12" i="8"/>
  <c r="T11" i="8"/>
  <c r="T10" i="8"/>
  <c r="AI5" i="8"/>
  <c r="AE5" i="8"/>
  <c r="AA5" i="8"/>
  <c r="W5" i="8"/>
  <c r="S5" i="8"/>
  <c r="M5" i="8"/>
  <c r="K5" i="8"/>
  <c r="I5" i="8"/>
  <c r="G5" i="8"/>
  <c r="BD11" i="13" l="1"/>
  <c r="BD25" i="13"/>
  <c r="BD24" i="13"/>
  <c r="BH24" i="13" s="1"/>
  <c r="BD21" i="13"/>
  <c r="BD26" i="13"/>
  <c r="BH26" i="13" s="1"/>
  <c r="BD19" i="13"/>
  <c r="BH19" i="13" s="1"/>
  <c r="BP10" i="13"/>
  <c r="BO9" i="13"/>
  <c r="BQ9" i="13"/>
  <c r="BO31" i="13"/>
  <c r="BO19" i="13"/>
  <c r="BO32" i="13"/>
  <c r="BO30" i="13"/>
  <c r="BO27" i="13"/>
  <c r="BO24" i="13"/>
  <c r="BO15" i="13"/>
  <c r="BO22" i="13"/>
  <c r="BO21" i="13"/>
  <c r="BO14" i="13"/>
  <c r="BO16" i="13"/>
  <c r="BO17" i="13"/>
  <c r="BO18" i="13"/>
  <c r="BO20" i="13"/>
  <c r="BO25" i="13"/>
  <c r="BO13" i="13"/>
  <c r="BO23" i="13"/>
  <c r="BO26" i="13"/>
  <c r="BO28" i="13"/>
  <c r="BO29" i="13"/>
  <c r="BP11" i="13"/>
  <c r="BR11" i="13" s="1"/>
  <c r="BO11" i="13"/>
  <c r="CK9" i="13"/>
  <c r="CF9" i="13" s="1"/>
  <c r="BI25" i="13"/>
  <c r="CL21" i="13"/>
  <c r="CL22" i="13"/>
  <c r="CL27" i="13"/>
  <c r="CL13" i="13"/>
  <c r="CL30" i="13"/>
  <c r="CL29" i="13"/>
  <c r="CL12" i="13"/>
  <c r="CL20" i="13"/>
  <c r="BI26" i="13"/>
  <c r="CL14" i="13"/>
  <c r="BG12" i="13"/>
  <c r="CL11" i="13"/>
  <c r="CL23" i="13"/>
  <c r="CL15" i="13"/>
  <c r="CL32" i="13"/>
  <c r="CL24" i="13"/>
  <c r="CL31" i="13"/>
  <c r="CL25" i="13"/>
  <c r="CL17" i="13"/>
  <c r="CL10" i="13"/>
  <c r="CL19" i="13"/>
  <c r="CL18" i="13"/>
  <c r="BM19" i="13"/>
  <c r="CF28" i="13"/>
  <c r="BH14" i="13"/>
  <c r="BI16" i="13"/>
  <c r="BJ16" i="13" s="1"/>
  <c r="BG10" i="13"/>
  <c r="BO10" i="13" s="1"/>
  <c r="BI28" i="13"/>
  <c r="BY26" i="13"/>
  <c r="BI22" i="13"/>
  <c r="BJ22" i="13" s="1"/>
  <c r="BM15" i="13"/>
  <c r="BM13" i="13"/>
  <c r="CF22" i="13"/>
  <c r="BM21" i="13"/>
  <c r="BM18" i="13"/>
  <c r="BI29" i="13"/>
  <c r="BH11" i="13"/>
  <c r="BI17" i="13"/>
  <c r="BM12" i="13"/>
  <c r="BI23" i="13"/>
  <c r="BJ23" i="13" s="1"/>
  <c r="BM31" i="13"/>
  <c r="CF30" i="13"/>
  <c r="BH15" i="13"/>
  <c r="BI11" i="13"/>
  <c r="BJ11" i="13" s="1"/>
  <c r="BH32" i="13"/>
  <c r="BH27" i="13"/>
  <c r="BH17" i="13"/>
  <c r="BY19" i="13"/>
  <c r="BH18" i="13"/>
  <c r="BY9" i="13"/>
  <c r="BM32" i="13"/>
  <c r="CF27" i="13"/>
  <c r="CF15" i="13"/>
  <c r="CL26" i="13"/>
  <c r="CF12" i="13"/>
  <c r="CL16" i="13"/>
  <c r="CL28" i="13"/>
  <c r="CF25" i="13"/>
  <c r="BT25" i="13"/>
  <c r="BH29" i="13"/>
  <c r="BM30" i="13"/>
  <c r="BM9" i="13"/>
  <c r="BH21" i="13"/>
  <c r="BH28" i="13"/>
  <c r="BH16" i="13"/>
  <c r="BT13" i="13"/>
  <c r="BH31" i="13"/>
  <c r="BH30" i="13"/>
  <c r="BM27" i="13"/>
  <c r="BH25" i="13"/>
  <c r="BY23" i="13"/>
  <c r="BH22" i="13"/>
  <c r="BY20" i="13"/>
  <c r="BM14" i="13"/>
  <c r="BH9" i="13"/>
  <c r="DI19" i="13"/>
  <c r="DI9" i="13"/>
  <c r="BM24" i="13"/>
  <c r="DI20" i="13"/>
  <c r="BT31" i="13"/>
  <c r="CF31" i="13"/>
  <c r="CF32" i="13"/>
  <c r="BT32" i="13"/>
  <c r="BT19" i="13"/>
  <c r="BT24" i="13"/>
  <c r="CF24" i="13"/>
  <c r="CF29" i="13"/>
  <c r="BT30" i="13"/>
  <c r="CF26" i="13"/>
  <c r="BT26" i="13"/>
  <c r="CF20" i="13"/>
  <c r="BT20" i="13"/>
  <c r="BY29" i="13"/>
  <c r="BT28" i="13"/>
  <c r="CF19" i="13"/>
  <c r="CF17" i="13"/>
  <c r="BT17" i="13"/>
  <c r="BY30" i="13"/>
  <c r="CF23" i="13"/>
  <c r="BT23" i="13"/>
  <c r="BT18" i="13"/>
  <c r="CF18" i="13"/>
  <c r="BT29" i="13"/>
  <c r="BT27" i="13"/>
  <c r="BT22" i="13"/>
  <c r="BT21" i="13"/>
  <c r="CF21" i="13"/>
  <c r="BH20" i="13"/>
  <c r="BH23" i="13"/>
  <c r="BM20" i="13"/>
  <c r="CF16" i="13"/>
  <c r="BT16" i="13"/>
  <c r="BH13" i="13"/>
  <c r="BT14" i="13"/>
  <c r="CF14" i="13"/>
  <c r="BT15" i="13"/>
  <c r="BT12" i="13"/>
  <c r="BT9" i="13"/>
  <c r="CF13" i="13"/>
  <c r="AW17" i="31"/>
  <c r="AV16" i="31"/>
  <c r="AV14" i="31"/>
  <c r="AV6" i="31"/>
  <c r="AN26" i="31"/>
  <c r="AV21" i="31"/>
  <c r="AN20" i="31"/>
  <c r="AM11" i="31"/>
  <c r="AM10" i="31"/>
  <c r="AW9" i="31"/>
  <c r="AM25" i="31"/>
  <c r="AW23" i="31"/>
  <c r="AW13" i="31"/>
  <c r="AN11" i="31"/>
  <c r="AW7" i="31"/>
  <c r="AW22" i="31"/>
  <c r="AM21" i="31"/>
  <c r="AC34" i="13"/>
  <c r="AW24" i="31"/>
  <c r="AN18" i="31"/>
  <c r="AW6" i="31"/>
  <c r="AW18" i="31"/>
  <c r="AV18" i="31"/>
  <c r="AN21" i="31"/>
  <c r="AN22" i="31"/>
  <c r="AN24" i="31"/>
  <c r="AM18" i="31"/>
  <c r="AM24" i="31"/>
  <c r="BU37" i="3"/>
  <c r="BV37" i="3"/>
  <c r="BW37" i="3"/>
  <c r="CA37" i="3"/>
  <c r="CB37" i="3"/>
  <c r="CC37" i="3"/>
  <c r="CG37" i="3"/>
  <c r="CH37" i="3"/>
  <c r="CI37" i="3"/>
  <c r="CM37" i="3"/>
  <c r="CN37" i="3"/>
  <c r="CO37" i="3"/>
  <c r="F37" i="3"/>
  <c r="G37" i="3"/>
  <c r="J37" i="3"/>
  <c r="K37" i="3"/>
  <c r="N37" i="3"/>
  <c r="O37" i="3"/>
  <c r="R37" i="3"/>
  <c r="S37" i="3"/>
  <c r="AX11" i="13"/>
  <c r="AX12" i="13"/>
  <c r="AX13" i="13"/>
  <c r="AX14" i="13"/>
  <c r="AX15" i="13"/>
  <c r="AX16" i="13"/>
  <c r="AX17" i="13"/>
  <c r="AX18" i="13"/>
  <c r="AX19" i="13"/>
  <c r="AX22" i="13"/>
  <c r="AX23" i="13"/>
  <c r="AX24" i="13"/>
  <c r="AX25" i="13"/>
  <c r="AX26" i="13"/>
  <c r="AX27" i="13"/>
  <c r="AX28" i="13"/>
  <c r="AX29" i="13"/>
  <c r="AX30" i="13"/>
  <c r="AX31" i="13"/>
  <c r="AX32" i="13"/>
  <c r="CO36" i="3"/>
  <c r="CN36" i="3"/>
  <c r="CM36" i="3"/>
  <c r="CI36" i="3"/>
  <c r="CH36" i="3"/>
  <c r="CG36" i="3"/>
  <c r="CO35" i="3"/>
  <c r="CN35" i="3"/>
  <c r="CM35" i="3"/>
  <c r="CI35" i="3"/>
  <c r="CH35" i="3"/>
  <c r="CG35" i="3"/>
  <c r="CO33" i="3"/>
  <c r="CN33" i="3"/>
  <c r="CM33" i="3"/>
  <c r="CI33" i="3"/>
  <c r="CH33" i="3"/>
  <c r="CG33" i="3"/>
  <c r="CO32" i="3"/>
  <c r="CN32" i="3"/>
  <c r="CM32" i="3"/>
  <c r="CI32" i="3"/>
  <c r="CH32" i="3"/>
  <c r="CG32" i="3"/>
  <c r="CO31" i="3"/>
  <c r="CN31" i="3"/>
  <c r="CM31" i="3"/>
  <c r="CI31" i="3"/>
  <c r="CH31" i="3"/>
  <c r="CG31" i="3"/>
  <c r="CO30" i="3"/>
  <c r="CN30" i="3"/>
  <c r="CM30" i="3"/>
  <c r="CI30" i="3"/>
  <c r="CH30" i="3"/>
  <c r="CG30" i="3"/>
  <c r="CO29" i="3"/>
  <c r="CN29" i="3"/>
  <c r="CM29" i="3"/>
  <c r="CI29" i="3"/>
  <c r="CH29" i="3"/>
  <c r="CG29" i="3"/>
  <c r="CO28" i="3"/>
  <c r="CN28" i="3"/>
  <c r="CM28" i="3"/>
  <c r="CI28" i="3"/>
  <c r="CH28" i="3"/>
  <c r="CG28" i="3"/>
  <c r="CO27" i="3"/>
  <c r="CN27" i="3"/>
  <c r="CM27" i="3"/>
  <c r="CI27" i="3"/>
  <c r="CH27" i="3"/>
  <c r="CG27" i="3"/>
  <c r="CO26" i="3"/>
  <c r="CN26" i="3"/>
  <c r="CM26" i="3"/>
  <c r="CI26" i="3"/>
  <c r="CH26" i="3"/>
  <c r="CG26" i="3"/>
  <c r="CO25" i="3"/>
  <c r="CN25" i="3"/>
  <c r="CM25" i="3"/>
  <c r="CI25" i="3"/>
  <c r="CH25" i="3"/>
  <c r="CG25" i="3"/>
  <c r="CO24" i="3"/>
  <c r="CN24" i="3"/>
  <c r="CM24" i="3"/>
  <c r="CI24" i="3"/>
  <c r="CH24" i="3"/>
  <c r="CG24" i="3"/>
  <c r="CO23" i="3"/>
  <c r="CN23" i="3"/>
  <c r="CM23" i="3"/>
  <c r="CI23" i="3"/>
  <c r="CH23" i="3"/>
  <c r="CG23" i="3"/>
  <c r="CO22" i="3"/>
  <c r="CN22" i="3"/>
  <c r="CM22" i="3"/>
  <c r="CI22" i="3"/>
  <c r="CH22" i="3"/>
  <c r="CG22" i="3"/>
  <c r="CO21" i="3"/>
  <c r="CN21" i="3"/>
  <c r="CM21" i="3"/>
  <c r="CI21" i="3"/>
  <c r="CH21" i="3"/>
  <c r="CG21" i="3"/>
  <c r="CO20" i="3"/>
  <c r="CN20" i="3"/>
  <c r="CM20" i="3"/>
  <c r="CI20" i="3"/>
  <c r="CH20" i="3"/>
  <c r="CG20" i="3"/>
  <c r="CO19" i="3"/>
  <c r="CN19" i="3"/>
  <c r="CM19" i="3"/>
  <c r="CI19" i="3"/>
  <c r="CH19" i="3"/>
  <c r="CG19" i="3"/>
  <c r="CO18" i="3"/>
  <c r="CN18" i="3"/>
  <c r="CM18" i="3"/>
  <c r="CI18" i="3"/>
  <c r="CH18" i="3"/>
  <c r="CG18" i="3"/>
  <c r="CO17" i="3"/>
  <c r="CN17" i="3"/>
  <c r="CM17" i="3"/>
  <c r="CI17" i="3"/>
  <c r="CH17" i="3"/>
  <c r="CG17" i="3"/>
  <c r="CO16" i="3"/>
  <c r="CN16" i="3"/>
  <c r="CM16" i="3"/>
  <c r="CI16" i="3"/>
  <c r="CH16" i="3"/>
  <c r="CG16" i="3"/>
  <c r="CO15" i="3"/>
  <c r="CN15" i="3"/>
  <c r="CM15" i="3"/>
  <c r="CI15" i="3"/>
  <c r="CH15" i="3"/>
  <c r="CG15" i="3"/>
  <c r="CO14" i="3"/>
  <c r="CN14" i="3"/>
  <c r="CM14" i="3"/>
  <c r="CI14" i="3"/>
  <c r="CH14" i="3"/>
  <c r="CG14" i="3"/>
  <c r="CO13" i="3"/>
  <c r="CN13" i="3"/>
  <c r="CM13" i="3"/>
  <c r="CI13" i="3"/>
  <c r="CH13" i="3"/>
  <c r="CG13" i="3"/>
  <c r="CO12" i="3"/>
  <c r="CN12" i="3"/>
  <c r="CM12" i="3"/>
  <c r="CI12" i="3"/>
  <c r="CH12" i="3"/>
  <c r="CG12" i="3"/>
  <c r="CO11" i="3"/>
  <c r="CN11" i="3"/>
  <c r="CM11" i="3"/>
  <c r="CI11" i="3"/>
  <c r="CH11" i="3"/>
  <c r="CG11" i="3"/>
  <c r="CO10" i="3"/>
  <c r="CN10" i="3"/>
  <c r="CM10" i="3"/>
  <c r="CI10" i="3"/>
  <c r="CH10" i="3"/>
  <c r="CG10" i="3"/>
  <c r="CO9" i="3"/>
  <c r="CN9" i="3"/>
  <c r="CM9" i="3"/>
  <c r="CI9" i="3"/>
  <c r="CH9" i="3"/>
  <c r="CG9" i="3"/>
  <c r="CO8" i="3"/>
  <c r="CN8" i="3"/>
  <c r="CM8" i="3"/>
  <c r="CI8" i="3"/>
  <c r="CH8" i="3"/>
  <c r="CG8" i="3"/>
  <c r="CO7" i="3"/>
  <c r="CN7" i="3"/>
  <c r="CM7" i="3"/>
  <c r="CI7" i="3"/>
  <c r="CH7" i="3"/>
  <c r="CG7" i="3"/>
  <c r="CO6" i="3"/>
  <c r="CN6" i="3"/>
  <c r="CM6" i="3"/>
  <c r="CI6" i="3"/>
  <c r="CH6" i="3"/>
  <c r="CG6" i="3"/>
  <c r="CD4" i="3"/>
  <c r="CJ1" i="3"/>
  <c r="CJ4" i="3" s="1"/>
  <c r="CP1" i="3"/>
  <c r="CP4" i="3" s="1"/>
  <c r="BO12" i="13" l="1"/>
  <c r="BD12" i="13"/>
  <c r="BJ28" i="13"/>
  <c r="BM28" i="13" s="1"/>
  <c r="BJ29" i="13"/>
  <c r="BM29" i="13" s="1"/>
  <c r="BJ25" i="13"/>
  <c r="BM25" i="13" s="1"/>
  <c r="BJ26" i="13"/>
  <c r="BM26" i="13" s="1"/>
  <c r="BJ17" i="13"/>
  <c r="BM17" i="13" s="1"/>
  <c r="CK10" i="13"/>
  <c r="CF10" i="13" s="1"/>
  <c r="BR10" i="13"/>
  <c r="BM23" i="13"/>
  <c r="BM16" i="13"/>
  <c r="BM22" i="13"/>
  <c r="AW5" i="31"/>
  <c r="CJ10" i="13"/>
  <c r="BD10" i="13"/>
  <c r="BH10" i="13" s="1"/>
  <c r="CF11" i="13"/>
  <c r="CL9" i="13"/>
  <c r="BH12" i="13"/>
  <c r="DI18" i="13"/>
  <c r="DI22" i="13"/>
  <c r="DI21" i="13"/>
  <c r="DI25" i="13"/>
  <c r="DI32" i="13"/>
  <c r="DI15" i="13"/>
  <c r="DI24" i="13"/>
  <c r="DI11" i="13"/>
  <c r="DI12" i="13"/>
  <c r="DI27" i="13"/>
  <c r="DI17" i="13"/>
  <c r="DI31" i="13"/>
  <c r="DI14" i="13"/>
  <c r="DI13" i="13"/>
  <c r="DI10" i="13"/>
  <c r="DI16" i="13"/>
  <c r="DI26" i="13"/>
  <c r="DI28" i="13"/>
  <c r="DI23" i="13"/>
  <c r="DI29" i="13"/>
  <c r="DI30" i="13"/>
  <c r="AM23" i="31"/>
  <c r="AV9" i="31"/>
  <c r="AW21" i="31"/>
  <c r="AW25" i="31"/>
  <c r="AV13" i="31"/>
  <c r="AW19" i="31"/>
  <c r="AM19" i="31"/>
  <c r="AN19" i="31"/>
  <c r="AN25" i="31"/>
  <c r="AV19" i="31"/>
  <c r="AM22" i="31"/>
  <c r="AN23" i="31"/>
  <c r="AV22" i="31"/>
  <c r="AV10" i="31"/>
  <c r="AW11" i="31"/>
  <c r="AW10" i="31"/>
  <c r="AN10" i="31"/>
  <c r="AW16" i="31"/>
  <c r="AV23" i="31"/>
  <c r="AV11" i="31"/>
  <c r="AV25" i="31"/>
  <c r="AV24" i="31"/>
  <c r="AV17" i="31"/>
  <c r="AV7" i="31"/>
  <c r="AV26" i="31"/>
  <c r="AV20" i="31"/>
  <c r="AU32" i="13"/>
  <c r="AV32" i="13"/>
  <c r="AV8" i="31"/>
  <c r="AW26" i="31"/>
  <c r="AW20" i="31"/>
  <c r="AW14" i="31"/>
  <c r="AW8" i="31"/>
  <c r="AM26" i="31"/>
  <c r="AM20" i="31"/>
  <c r="S36" i="3"/>
  <c r="R36" i="3"/>
  <c r="O36" i="3"/>
  <c r="N36" i="3"/>
  <c r="S35" i="3"/>
  <c r="R35" i="3"/>
  <c r="O35" i="3"/>
  <c r="N35" i="3"/>
  <c r="S33" i="3"/>
  <c r="R33" i="3"/>
  <c r="O33" i="3"/>
  <c r="N33" i="3"/>
  <c r="S32" i="3"/>
  <c r="R32" i="3"/>
  <c r="O32" i="3"/>
  <c r="N32" i="3"/>
  <c r="S31" i="3"/>
  <c r="R31" i="3"/>
  <c r="O31" i="3"/>
  <c r="N31" i="3"/>
  <c r="S30" i="3"/>
  <c r="R30" i="3"/>
  <c r="O30" i="3"/>
  <c r="N30" i="3"/>
  <c r="S29" i="3"/>
  <c r="R29" i="3"/>
  <c r="O29" i="3"/>
  <c r="N29" i="3"/>
  <c r="S28" i="3"/>
  <c r="R28" i="3"/>
  <c r="O28" i="3"/>
  <c r="N28" i="3"/>
  <c r="S27" i="3"/>
  <c r="R27" i="3"/>
  <c r="O27" i="3"/>
  <c r="N27" i="3"/>
  <c r="S26" i="3"/>
  <c r="R26" i="3"/>
  <c r="O26" i="3"/>
  <c r="N26" i="3"/>
  <c r="S25" i="3"/>
  <c r="R25" i="3"/>
  <c r="O25" i="3"/>
  <c r="N25" i="3"/>
  <c r="S24" i="3"/>
  <c r="R24" i="3"/>
  <c r="O24" i="3"/>
  <c r="N24" i="3"/>
  <c r="S23" i="3"/>
  <c r="R23" i="3"/>
  <c r="O23" i="3"/>
  <c r="N23" i="3"/>
  <c r="S22" i="3"/>
  <c r="R22" i="3"/>
  <c r="O22" i="3"/>
  <c r="N22" i="3"/>
  <c r="S21" i="3"/>
  <c r="R21" i="3"/>
  <c r="O21" i="3"/>
  <c r="N21" i="3"/>
  <c r="S20" i="3"/>
  <c r="R20" i="3"/>
  <c r="O20" i="3"/>
  <c r="N20" i="3"/>
  <c r="S19" i="3"/>
  <c r="R19" i="3"/>
  <c r="O19" i="3"/>
  <c r="N19" i="3"/>
  <c r="S18" i="3"/>
  <c r="R18" i="3"/>
  <c r="O18" i="3"/>
  <c r="N18" i="3"/>
  <c r="S17" i="3"/>
  <c r="R17" i="3"/>
  <c r="O17" i="3"/>
  <c r="N17" i="3"/>
  <c r="S16" i="3"/>
  <c r="R16" i="3"/>
  <c r="O16" i="3"/>
  <c r="N16" i="3"/>
  <c r="S15" i="3"/>
  <c r="R15" i="3"/>
  <c r="O15" i="3"/>
  <c r="N15" i="3"/>
  <c r="S14" i="3"/>
  <c r="R14" i="3"/>
  <c r="O14" i="3"/>
  <c r="N14" i="3"/>
  <c r="S13" i="3"/>
  <c r="R13" i="3"/>
  <c r="O13" i="3"/>
  <c r="N13" i="3"/>
  <c r="S12" i="3"/>
  <c r="R12" i="3"/>
  <c r="O12" i="3"/>
  <c r="N12" i="3"/>
  <c r="S11" i="3"/>
  <c r="R11" i="3"/>
  <c r="O11" i="3"/>
  <c r="N11" i="3"/>
  <c r="S10" i="3"/>
  <c r="R10" i="3"/>
  <c r="O10" i="3"/>
  <c r="N10" i="3"/>
  <c r="S9" i="3"/>
  <c r="R9" i="3"/>
  <c r="O9" i="3"/>
  <c r="N9" i="3"/>
  <c r="S8" i="3"/>
  <c r="R8" i="3"/>
  <c r="O8" i="3"/>
  <c r="N8" i="3"/>
  <c r="S7" i="3"/>
  <c r="R7" i="3"/>
  <c r="O7" i="3"/>
  <c r="N7" i="3"/>
  <c r="S6" i="3"/>
  <c r="R6" i="3"/>
  <c r="O6" i="3"/>
  <c r="N6" i="3"/>
  <c r="P4" i="3"/>
  <c r="L4" i="3"/>
  <c r="V4" i="15"/>
  <c r="A6" i="29" a="1"/>
  <c r="A6" i="29" s="1"/>
  <c r="A7" i="20" a="1"/>
  <c r="A7" i="20" s="1"/>
  <c r="Z15" i="7"/>
  <c r="Y15" i="7"/>
  <c r="U15" i="7"/>
  <c r="T15" i="7"/>
  <c r="P15" i="7"/>
  <c r="O15" i="7"/>
  <c r="Z14" i="7"/>
  <c r="Y14" i="7"/>
  <c r="U14" i="7"/>
  <c r="T14" i="7"/>
  <c r="P14" i="7"/>
  <c r="O14" i="7"/>
  <c r="Z13" i="7"/>
  <c r="Y13" i="7"/>
  <c r="U13" i="7"/>
  <c r="T13" i="7"/>
  <c r="P13" i="7"/>
  <c r="O13" i="7"/>
  <c r="Z12" i="7"/>
  <c r="Y12" i="7"/>
  <c r="U12" i="7"/>
  <c r="T12" i="7"/>
  <c r="P12" i="7"/>
  <c r="O12" i="7"/>
  <c r="Z11" i="7"/>
  <c r="Y11" i="7"/>
  <c r="U11" i="7"/>
  <c r="T11" i="7"/>
  <c r="P11" i="7"/>
  <c r="O11" i="7"/>
  <c r="Z10" i="7"/>
  <c r="Y10" i="7"/>
  <c r="U10" i="7"/>
  <c r="T10" i="7"/>
  <c r="P10" i="7"/>
  <c r="O10" i="7"/>
  <c r="Z9" i="7"/>
  <c r="Y9" i="7"/>
  <c r="U9" i="7"/>
  <c r="T9" i="7"/>
  <c r="P9" i="7"/>
  <c r="O9" i="7"/>
  <c r="Z8" i="7"/>
  <c r="Y8" i="7"/>
  <c r="U8" i="7"/>
  <c r="T8" i="7"/>
  <c r="P8" i="7"/>
  <c r="O8" i="7"/>
  <c r="Z7" i="7"/>
  <c r="Y7" i="7"/>
  <c r="U7" i="7"/>
  <c r="T7" i="7"/>
  <c r="P7" i="7"/>
  <c r="O7" i="7"/>
  <c r="I15" i="7"/>
  <c r="I14" i="7"/>
  <c r="I13" i="7"/>
  <c r="I12" i="7"/>
  <c r="I11" i="7"/>
  <c r="I10" i="7"/>
  <c r="I9" i="7"/>
  <c r="I8" i="7"/>
  <c r="I7" i="7"/>
  <c r="B7" i="7" a="1"/>
  <c r="B7" i="7" s="1"/>
  <c r="A7" i="10" a="1"/>
  <c r="A7" i="10" s="1"/>
  <c r="B10" i="8" a="1"/>
  <c r="B10" i="8" s="1"/>
  <c r="AG33" i="11"/>
  <c r="AF33" i="11"/>
  <c r="AC33" i="11"/>
  <c r="AB33" i="11"/>
  <c r="Y33" i="11"/>
  <c r="X33" i="11"/>
  <c r="U33" i="11"/>
  <c r="T33" i="11"/>
  <c r="Q33" i="11"/>
  <c r="P33" i="11"/>
  <c r="M33" i="11"/>
  <c r="L33" i="11"/>
  <c r="I33" i="11"/>
  <c r="H33" i="11"/>
  <c r="E33" i="11"/>
  <c r="D33" i="11"/>
  <c r="AG32" i="11"/>
  <c r="AF32" i="11"/>
  <c r="AC32" i="11"/>
  <c r="AB32" i="11"/>
  <c r="Y32" i="11"/>
  <c r="X32" i="11"/>
  <c r="U32" i="11"/>
  <c r="T32" i="11"/>
  <c r="Q32" i="11"/>
  <c r="P32" i="11"/>
  <c r="M32" i="11"/>
  <c r="L32" i="11"/>
  <c r="I32" i="11"/>
  <c r="H32" i="11"/>
  <c r="E32" i="11"/>
  <c r="D32" i="11"/>
  <c r="AG31" i="11"/>
  <c r="AF31" i="11"/>
  <c r="AC31" i="11"/>
  <c r="AB31" i="11"/>
  <c r="Y31" i="11"/>
  <c r="X31" i="11"/>
  <c r="U31" i="11"/>
  <c r="T31" i="11"/>
  <c r="Q31" i="11"/>
  <c r="P31" i="11"/>
  <c r="M31" i="11"/>
  <c r="L31" i="11"/>
  <c r="I31" i="11"/>
  <c r="H31" i="11"/>
  <c r="E31" i="11"/>
  <c r="D31" i="11"/>
  <c r="AG30" i="11"/>
  <c r="AF30" i="11"/>
  <c r="AC30" i="11"/>
  <c r="AB30" i="11"/>
  <c r="Y30" i="11"/>
  <c r="X30" i="11"/>
  <c r="U30" i="11"/>
  <c r="T30" i="11"/>
  <c r="Q30" i="11"/>
  <c r="P30" i="11"/>
  <c r="M30" i="11"/>
  <c r="L30" i="11"/>
  <c r="I30" i="11"/>
  <c r="H30" i="11"/>
  <c r="E30" i="11"/>
  <c r="D30" i="11"/>
  <c r="AG29" i="11"/>
  <c r="AF29" i="11"/>
  <c r="AC29" i="11"/>
  <c r="AB29" i="11"/>
  <c r="Y29" i="11"/>
  <c r="X29" i="11"/>
  <c r="U29" i="11"/>
  <c r="T29" i="11"/>
  <c r="Q29" i="11"/>
  <c r="P29" i="11"/>
  <c r="M29" i="11"/>
  <c r="L29" i="11"/>
  <c r="I29" i="11"/>
  <c r="H29" i="11"/>
  <c r="E29" i="11"/>
  <c r="D29" i="11"/>
  <c r="AG28" i="11"/>
  <c r="AF28" i="11"/>
  <c r="AC28" i="11"/>
  <c r="AB28" i="11"/>
  <c r="Y28" i="11"/>
  <c r="X28" i="11"/>
  <c r="U28" i="11"/>
  <c r="T28" i="11"/>
  <c r="Q28" i="11"/>
  <c r="P28" i="11"/>
  <c r="M28" i="11"/>
  <c r="L28" i="11"/>
  <c r="I28" i="11"/>
  <c r="H28" i="11"/>
  <c r="E28" i="11"/>
  <c r="D28" i="11"/>
  <c r="AG27" i="11"/>
  <c r="AF27" i="11"/>
  <c r="AC27" i="11"/>
  <c r="AB27" i="11"/>
  <c r="Y27" i="11"/>
  <c r="X27" i="11"/>
  <c r="U27" i="11"/>
  <c r="T27" i="11"/>
  <c r="Q27" i="11"/>
  <c r="P27" i="11"/>
  <c r="M27" i="11"/>
  <c r="L27" i="11"/>
  <c r="I27" i="11"/>
  <c r="H27" i="11"/>
  <c r="E27" i="11"/>
  <c r="D27" i="11"/>
  <c r="AG26" i="11"/>
  <c r="AF26" i="11"/>
  <c r="AC26" i="11"/>
  <c r="AB26" i="11"/>
  <c r="Y26" i="11"/>
  <c r="X26" i="11"/>
  <c r="U26" i="11"/>
  <c r="T26" i="11"/>
  <c r="Q26" i="11"/>
  <c r="P26" i="11"/>
  <c r="M26" i="11"/>
  <c r="L26" i="11"/>
  <c r="I26" i="11"/>
  <c r="H26" i="11"/>
  <c r="E26" i="11"/>
  <c r="D26" i="11"/>
  <c r="AG25" i="11"/>
  <c r="AF25" i="11"/>
  <c r="AC25" i="11"/>
  <c r="AB25" i="11"/>
  <c r="Y25" i="11"/>
  <c r="X25" i="11"/>
  <c r="U25" i="11"/>
  <c r="T25" i="11"/>
  <c r="Q25" i="11"/>
  <c r="P25" i="11"/>
  <c r="M25" i="11"/>
  <c r="L25" i="11"/>
  <c r="I25" i="11"/>
  <c r="H25" i="11"/>
  <c r="E25" i="11"/>
  <c r="D25" i="11"/>
  <c r="AG24" i="11"/>
  <c r="AF24" i="11"/>
  <c r="AC24" i="11"/>
  <c r="AB24" i="11"/>
  <c r="Y24" i="11"/>
  <c r="X24" i="11"/>
  <c r="U24" i="11"/>
  <c r="T24" i="11"/>
  <c r="Q24" i="11"/>
  <c r="P24" i="11"/>
  <c r="M24" i="11"/>
  <c r="L24" i="11"/>
  <c r="I24" i="11"/>
  <c r="H24" i="11"/>
  <c r="E24" i="11"/>
  <c r="D24" i="11"/>
  <c r="AG23" i="11"/>
  <c r="AF23" i="11"/>
  <c r="AC23" i="11"/>
  <c r="AB23" i="11"/>
  <c r="Y23" i="11"/>
  <c r="X23" i="11"/>
  <c r="U23" i="11"/>
  <c r="T23" i="11"/>
  <c r="Q23" i="11"/>
  <c r="P23" i="11"/>
  <c r="M23" i="11"/>
  <c r="L23" i="11"/>
  <c r="I23" i="11"/>
  <c r="H23" i="11"/>
  <c r="E23" i="11"/>
  <c r="D23" i="11"/>
  <c r="AG22" i="11"/>
  <c r="AF22" i="11"/>
  <c r="AC22" i="11"/>
  <c r="AB22" i="11"/>
  <c r="Y22" i="11"/>
  <c r="X22" i="11"/>
  <c r="U22" i="11"/>
  <c r="T22" i="11"/>
  <c r="Q22" i="11"/>
  <c r="P22" i="11"/>
  <c r="M22" i="11"/>
  <c r="L22" i="11"/>
  <c r="I22" i="11"/>
  <c r="H22" i="11"/>
  <c r="E22" i="11"/>
  <c r="D22" i="11"/>
  <c r="AG21" i="11"/>
  <c r="AF21" i="11"/>
  <c r="AC21" i="11"/>
  <c r="AB21" i="11"/>
  <c r="Y21" i="11"/>
  <c r="X21" i="11"/>
  <c r="U21" i="11"/>
  <c r="T21" i="11"/>
  <c r="Q21" i="11"/>
  <c r="P21" i="11"/>
  <c r="M21" i="11"/>
  <c r="L21" i="11"/>
  <c r="I21" i="11"/>
  <c r="H21" i="11"/>
  <c r="E21" i="11"/>
  <c r="D21" i="11"/>
  <c r="AG20" i="11"/>
  <c r="AF20" i="11"/>
  <c r="AC20" i="11"/>
  <c r="AB20" i="11"/>
  <c r="Y20" i="11"/>
  <c r="X20" i="11"/>
  <c r="U20" i="11"/>
  <c r="T20" i="11"/>
  <c r="Q20" i="11"/>
  <c r="P20" i="11"/>
  <c r="M20" i="11"/>
  <c r="L20" i="11"/>
  <c r="I20" i="11"/>
  <c r="H20" i="11"/>
  <c r="E20" i="11"/>
  <c r="D20" i="11"/>
  <c r="AG19" i="11"/>
  <c r="AF19" i="11"/>
  <c r="AC19" i="11"/>
  <c r="AB19" i="11"/>
  <c r="Y19" i="11"/>
  <c r="X19" i="11"/>
  <c r="U19" i="11"/>
  <c r="T19" i="11"/>
  <c r="Q19" i="11"/>
  <c r="P19" i="11"/>
  <c r="M19" i="11"/>
  <c r="L19" i="11"/>
  <c r="I19" i="11"/>
  <c r="H19" i="11"/>
  <c r="E19" i="11"/>
  <c r="D19" i="11"/>
  <c r="AG18" i="11"/>
  <c r="AF18" i="11"/>
  <c r="AC18" i="11"/>
  <c r="AB18" i="11"/>
  <c r="Y18" i="11"/>
  <c r="X18" i="11"/>
  <c r="U18" i="11"/>
  <c r="T18" i="11"/>
  <c r="Q18" i="11"/>
  <c r="P18" i="11"/>
  <c r="M18" i="11"/>
  <c r="L18" i="11"/>
  <c r="I18" i="11"/>
  <c r="H18" i="11"/>
  <c r="E18" i="11"/>
  <c r="D18" i="11"/>
  <c r="AG17" i="11"/>
  <c r="AF17" i="11"/>
  <c r="AC17" i="11"/>
  <c r="AB17" i="11"/>
  <c r="Y17" i="11"/>
  <c r="X17" i="11"/>
  <c r="U17" i="11"/>
  <c r="T17" i="11"/>
  <c r="Q17" i="11"/>
  <c r="P17" i="11"/>
  <c r="M17" i="11"/>
  <c r="L17" i="11"/>
  <c r="I17" i="11"/>
  <c r="H17" i="11"/>
  <c r="E17" i="11"/>
  <c r="D17" i="11"/>
  <c r="AG16" i="11"/>
  <c r="AF16" i="11"/>
  <c r="AC16" i="11"/>
  <c r="AB16" i="11"/>
  <c r="Y16" i="11"/>
  <c r="X16" i="11"/>
  <c r="U16" i="11"/>
  <c r="T16" i="11"/>
  <c r="Q16" i="11"/>
  <c r="P16" i="11"/>
  <c r="M16" i="11"/>
  <c r="L16" i="11"/>
  <c r="I16" i="11"/>
  <c r="H16" i="11"/>
  <c r="E16" i="11"/>
  <c r="D16" i="11"/>
  <c r="AG15" i="11"/>
  <c r="AF15" i="11"/>
  <c r="AC15" i="11"/>
  <c r="AB15" i="11"/>
  <c r="Y15" i="11"/>
  <c r="X15" i="11"/>
  <c r="U15" i="11"/>
  <c r="T15" i="11"/>
  <c r="Q15" i="11"/>
  <c r="P15" i="11"/>
  <c r="M15" i="11"/>
  <c r="L15" i="11"/>
  <c r="I15" i="11"/>
  <c r="H15" i="11"/>
  <c r="E15" i="11"/>
  <c r="D15" i="11"/>
  <c r="AG14" i="11"/>
  <c r="AF14" i="11"/>
  <c r="AC14" i="11"/>
  <c r="AB14" i="11"/>
  <c r="Y14" i="11"/>
  <c r="X14" i="11"/>
  <c r="U14" i="11"/>
  <c r="T14" i="11"/>
  <c r="Q14" i="11"/>
  <c r="P14" i="11"/>
  <c r="M14" i="11"/>
  <c r="L14" i="11"/>
  <c r="I14" i="11"/>
  <c r="H14" i="11"/>
  <c r="E14" i="11"/>
  <c r="D14" i="11"/>
  <c r="AG13" i="11"/>
  <c r="AF13" i="11"/>
  <c r="AC13" i="11"/>
  <c r="AB13" i="11"/>
  <c r="Y13" i="11"/>
  <c r="X13" i="11"/>
  <c r="U13" i="11"/>
  <c r="T13" i="11"/>
  <c r="Q13" i="11"/>
  <c r="P13" i="11"/>
  <c r="M13" i="11"/>
  <c r="L13" i="11"/>
  <c r="I13" i="11"/>
  <c r="H13" i="11"/>
  <c r="E13" i="11"/>
  <c r="D13" i="11"/>
  <c r="AG12" i="11"/>
  <c r="AF12" i="11"/>
  <c r="AC12" i="11"/>
  <c r="AB12" i="11"/>
  <c r="Y12" i="11"/>
  <c r="X12" i="11"/>
  <c r="U12" i="11"/>
  <c r="T12" i="11"/>
  <c r="Q12" i="11"/>
  <c r="P12" i="11"/>
  <c r="M12" i="11"/>
  <c r="L12" i="11"/>
  <c r="I12" i="11"/>
  <c r="H12" i="11"/>
  <c r="E12" i="11"/>
  <c r="D12" i="11"/>
  <c r="AG11" i="11"/>
  <c r="AF11" i="11"/>
  <c r="AC11" i="11"/>
  <c r="AB11" i="11"/>
  <c r="Y11" i="11"/>
  <c r="X11" i="11"/>
  <c r="U11" i="11"/>
  <c r="T11" i="11"/>
  <c r="Q11" i="11"/>
  <c r="P11" i="11"/>
  <c r="M11" i="11"/>
  <c r="L11" i="11"/>
  <c r="I11" i="11"/>
  <c r="H11" i="11"/>
  <c r="E11" i="11"/>
  <c r="D11" i="11"/>
  <c r="AG10" i="11"/>
  <c r="AF10" i="11"/>
  <c r="AC10" i="11"/>
  <c r="AB10" i="11"/>
  <c r="Y10" i="11"/>
  <c r="X10" i="11"/>
  <c r="U10" i="11"/>
  <c r="T10" i="11"/>
  <c r="Q10" i="11"/>
  <c r="P10" i="11"/>
  <c r="M10" i="11"/>
  <c r="L10" i="11"/>
  <c r="I10" i="11"/>
  <c r="H10" i="11"/>
  <c r="E10" i="11"/>
  <c r="D10" i="11"/>
  <c r="AG9" i="11"/>
  <c r="AF9" i="11"/>
  <c r="AC9" i="11"/>
  <c r="AB9" i="11"/>
  <c r="Y9" i="11"/>
  <c r="X9" i="11"/>
  <c r="U9" i="11"/>
  <c r="T9" i="11"/>
  <c r="Q9" i="11"/>
  <c r="P9" i="11"/>
  <c r="M9" i="11"/>
  <c r="L9" i="11"/>
  <c r="I9" i="11"/>
  <c r="H9" i="11"/>
  <c r="E9" i="11"/>
  <c r="D9" i="11"/>
  <c r="AG8" i="11"/>
  <c r="AF8" i="11"/>
  <c r="AC8" i="11"/>
  <c r="AB8" i="11"/>
  <c r="Y8" i="11"/>
  <c r="X8" i="11"/>
  <c r="U8" i="11"/>
  <c r="T8" i="11"/>
  <c r="Q8" i="11"/>
  <c r="P8" i="11"/>
  <c r="M8" i="11"/>
  <c r="L8" i="11"/>
  <c r="I8" i="11"/>
  <c r="H8" i="11"/>
  <c r="E8" i="11"/>
  <c r="D8" i="11"/>
  <c r="AG7" i="11"/>
  <c r="AF7" i="11"/>
  <c r="AC7" i="11"/>
  <c r="AB7" i="11"/>
  <c r="Y7" i="11"/>
  <c r="X7" i="11"/>
  <c r="U7" i="11"/>
  <c r="T7" i="11"/>
  <c r="Q7" i="11"/>
  <c r="P7" i="11"/>
  <c r="M7" i="11"/>
  <c r="L7" i="11"/>
  <c r="I7" i="11"/>
  <c r="H7" i="11"/>
  <c r="E7" i="11"/>
  <c r="D7" i="11"/>
  <c r="A7" i="11" a="1"/>
  <c r="A7" i="11" s="1"/>
  <c r="EW32" i="3"/>
  <c r="EV32" i="3"/>
  <c r="EU32" i="3"/>
  <c r="EE32" i="3"/>
  <c r="ED32" i="3"/>
  <c r="EC32" i="3"/>
  <c r="DM32" i="3"/>
  <c r="DL32" i="3"/>
  <c r="DK32" i="3"/>
  <c r="CU32" i="3"/>
  <c r="CT32" i="3"/>
  <c r="CS32" i="3"/>
  <c r="CC32" i="3"/>
  <c r="CB32" i="3"/>
  <c r="CA32" i="3"/>
  <c r="BW32" i="3"/>
  <c r="BV32" i="3"/>
  <c r="BU32" i="3"/>
  <c r="BG32" i="3"/>
  <c r="BF32" i="3"/>
  <c r="AU32" i="3"/>
  <c r="AT32" i="3"/>
  <c r="AI32" i="3"/>
  <c r="AH32" i="3"/>
  <c r="W32" i="3"/>
  <c r="V32" i="3"/>
  <c r="K32" i="3"/>
  <c r="J32" i="3"/>
  <c r="G32" i="3"/>
  <c r="F32" i="3"/>
  <c r="EW31" i="3"/>
  <c r="EV31" i="3"/>
  <c r="EU31" i="3"/>
  <c r="EE31" i="3"/>
  <c r="ED31" i="3"/>
  <c r="EC31" i="3"/>
  <c r="DM31" i="3"/>
  <c r="DL31" i="3"/>
  <c r="DK31" i="3"/>
  <c r="CU31" i="3"/>
  <c r="CT31" i="3"/>
  <c r="CS31" i="3"/>
  <c r="CC31" i="3"/>
  <c r="CB31" i="3"/>
  <c r="CA31" i="3"/>
  <c r="BW31" i="3"/>
  <c r="BV31" i="3"/>
  <c r="BU31" i="3"/>
  <c r="BG31" i="3"/>
  <c r="BF31" i="3"/>
  <c r="AU31" i="3"/>
  <c r="AT31" i="3"/>
  <c r="AI31" i="3"/>
  <c r="AH31" i="3"/>
  <c r="W31" i="3"/>
  <c r="V31" i="3"/>
  <c r="K31" i="3"/>
  <c r="J31" i="3"/>
  <c r="G31" i="3"/>
  <c r="F31" i="3"/>
  <c r="EW30" i="3"/>
  <c r="EV30" i="3"/>
  <c r="EU30" i="3"/>
  <c r="EE30" i="3"/>
  <c r="ED30" i="3"/>
  <c r="EC30" i="3"/>
  <c r="DM30" i="3"/>
  <c r="DL30" i="3"/>
  <c r="DK30" i="3"/>
  <c r="CU30" i="3"/>
  <c r="CT30" i="3"/>
  <c r="CS30" i="3"/>
  <c r="CC30" i="3"/>
  <c r="CB30" i="3"/>
  <c r="CA30" i="3"/>
  <c r="BW30" i="3"/>
  <c r="BV30" i="3"/>
  <c r="BU30" i="3"/>
  <c r="BG30" i="3"/>
  <c r="BF30" i="3"/>
  <c r="AU30" i="3"/>
  <c r="AT30" i="3"/>
  <c r="AI30" i="3"/>
  <c r="AH30" i="3"/>
  <c r="W30" i="3"/>
  <c r="V30" i="3"/>
  <c r="K30" i="3"/>
  <c r="J30" i="3"/>
  <c r="G30" i="3"/>
  <c r="F30" i="3"/>
  <c r="EW29" i="3"/>
  <c r="EV29" i="3"/>
  <c r="EU29" i="3"/>
  <c r="EE29" i="3"/>
  <c r="ED29" i="3"/>
  <c r="EC29" i="3"/>
  <c r="DM29" i="3"/>
  <c r="DL29" i="3"/>
  <c r="DK29" i="3"/>
  <c r="CU29" i="3"/>
  <c r="CT29" i="3"/>
  <c r="CS29" i="3"/>
  <c r="CC29" i="3"/>
  <c r="CB29" i="3"/>
  <c r="CA29" i="3"/>
  <c r="BW29" i="3"/>
  <c r="BV29" i="3"/>
  <c r="BU29" i="3"/>
  <c r="BG29" i="3"/>
  <c r="BF29" i="3"/>
  <c r="AU29" i="3"/>
  <c r="AT29" i="3"/>
  <c r="AI29" i="3"/>
  <c r="AH29" i="3"/>
  <c r="W29" i="3"/>
  <c r="V29" i="3"/>
  <c r="K29" i="3"/>
  <c r="J29" i="3"/>
  <c r="G29" i="3"/>
  <c r="F29" i="3"/>
  <c r="EW28" i="3"/>
  <c r="EV28" i="3"/>
  <c r="EU28" i="3"/>
  <c r="EE28" i="3"/>
  <c r="ED28" i="3"/>
  <c r="EC28" i="3"/>
  <c r="DM28" i="3"/>
  <c r="DL28" i="3"/>
  <c r="DK28" i="3"/>
  <c r="CU28" i="3"/>
  <c r="CT28" i="3"/>
  <c r="CS28" i="3"/>
  <c r="CC28" i="3"/>
  <c r="CB28" i="3"/>
  <c r="CA28" i="3"/>
  <c r="BW28" i="3"/>
  <c r="BV28" i="3"/>
  <c r="BU28" i="3"/>
  <c r="BG28" i="3"/>
  <c r="BF28" i="3"/>
  <c r="AU28" i="3"/>
  <c r="AT28" i="3"/>
  <c r="AI28" i="3"/>
  <c r="AH28" i="3"/>
  <c r="W28" i="3"/>
  <c r="V28" i="3"/>
  <c r="K28" i="3"/>
  <c r="J28" i="3"/>
  <c r="G28" i="3"/>
  <c r="F28" i="3"/>
  <c r="EW27" i="3"/>
  <c r="EV27" i="3"/>
  <c r="EU27" i="3"/>
  <c r="EE27" i="3"/>
  <c r="ED27" i="3"/>
  <c r="EC27" i="3"/>
  <c r="DM27" i="3"/>
  <c r="DL27" i="3"/>
  <c r="DK27" i="3"/>
  <c r="CU27" i="3"/>
  <c r="CT27" i="3"/>
  <c r="CS27" i="3"/>
  <c r="CC27" i="3"/>
  <c r="CB27" i="3"/>
  <c r="CA27" i="3"/>
  <c r="BW27" i="3"/>
  <c r="BV27" i="3"/>
  <c r="BU27" i="3"/>
  <c r="BG27" i="3"/>
  <c r="BF27" i="3"/>
  <c r="AU27" i="3"/>
  <c r="AT27" i="3"/>
  <c r="AI27" i="3"/>
  <c r="AH27" i="3"/>
  <c r="W27" i="3"/>
  <c r="V27" i="3"/>
  <c r="K27" i="3"/>
  <c r="J27" i="3"/>
  <c r="G27" i="3"/>
  <c r="F27" i="3"/>
  <c r="EW26" i="3"/>
  <c r="EV26" i="3"/>
  <c r="EU26" i="3"/>
  <c r="EE26" i="3"/>
  <c r="ED26" i="3"/>
  <c r="EC26" i="3"/>
  <c r="DM26" i="3"/>
  <c r="DL26" i="3"/>
  <c r="DK26" i="3"/>
  <c r="CU26" i="3"/>
  <c r="CT26" i="3"/>
  <c r="CS26" i="3"/>
  <c r="CC26" i="3"/>
  <c r="CB26" i="3"/>
  <c r="CA26" i="3"/>
  <c r="BW26" i="3"/>
  <c r="BV26" i="3"/>
  <c r="BU26" i="3"/>
  <c r="BG26" i="3"/>
  <c r="BF26" i="3"/>
  <c r="AU26" i="3"/>
  <c r="AT26" i="3"/>
  <c r="AI26" i="3"/>
  <c r="AH26" i="3"/>
  <c r="W26" i="3"/>
  <c r="V26" i="3"/>
  <c r="K26" i="3"/>
  <c r="J26" i="3"/>
  <c r="G26" i="3"/>
  <c r="F26" i="3"/>
  <c r="EW25" i="3"/>
  <c r="EV25" i="3"/>
  <c r="EU25" i="3"/>
  <c r="EE25" i="3"/>
  <c r="ED25" i="3"/>
  <c r="EC25" i="3"/>
  <c r="DM25" i="3"/>
  <c r="DL25" i="3"/>
  <c r="DK25" i="3"/>
  <c r="CU25" i="3"/>
  <c r="CT25" i="3"/>
  <c r="CS25" i="3"/>
  <c r="CC25" i="3"/>
  <c r="CB25" i="3"/>
  <c r="CA25" i="3"/>
  <c r="BW25" i="3"/>
  <c r="BV25" i="3"/>
  <c r="BU25" i="3"/>
  <c r="BG25" i="3"/>
  <c r="BF25" i="3"/>
  <c r="AU25" i="3"/>
  <c r="AT25" i="3"/>
  <c r="AI25" i="3"/>
  <c r="AH25" i="3"/>
  <c r="W25" i="3"/>
  <c r="V25" i="3"/>
  <c r="K25" i="3"/>
  <c r="J25" i="3"/>
  <c r="G25" i="3"/>
  <c r="F25" i="3"/>
  <c r="EW24" i="3"/>
  <c r="EV24" i="3"/>
  <c r="EU24" i="3"/>
  <c r="EE24" i="3"/>
  <c r="ED24" i="3"/>
  <c r="EC24" i="3"/>
  <c r="DM24" i="3"/>
  <c r="DL24" i="3"/>
  <c r="DK24" i="3"/>
  <c r="CU24" i="3"/>
  <c r="CT24" i="3"/>
  <c r="CS24" i="3"/>
  <c r="CC24" i="3"/>
  <c r="CB24" i="3"/>
  <c r="CA24" i="3"/>
  <c r="BW24" i="3"/>
  <c r="BV24" i="3"/>
  <c r="BU24" i="3"/>
  <c r="BG24" i="3"/>
  <c r="BF24" i="3"/>
  <c r="AU24" i="3"/>
  <c r="AT24" i="3"/>
  <c r="AI24" i="3"/>
  <c r="AH24" i="3"/>
  <c r="W24" i="3"/>
  <c r="V24" i="3"/>
  <c r="K24" i="3"/>
  <c r="J24" i="3"/>
  <c r="G24" i="3"/>
  <c r="F24" i="3"/>
  <c r="EW23" i="3"/>
  <c r="EV23" i="3"/>
  <c r="EU23" i="3"/>
  <c r="EE23" i="3"/>
  <c r="ED23" i="3"/>
  <c r="EC23" i="3"/>
  <c r="DM23" i="3"/>
  <c r="DL23" i="3"/>
  <c r="DK23" i="3"/>
  <c r="CU23" i="3"/>
  <c r="CT23" i="3"/>
  <c r="CS23" i="3"/>
  <c r="CC23" i="3"/>
  <c r="CB23" i="3"/>
  <c r="CA23" i="3"/>
  <c r="BW23" i="3"/>
  <c r="BV23" i="3"/>
  <c r="BU23" i="3"/>
  <c r="BG23" i="3"/>
  <c r="BF23" i="3"/>
  <c r="AU23" i="3"/>
  <c r="AT23" i="3"/>
  <c r="AI23" i="3"/>
  <c r="AH23" i="3"/>
  <c r="W23" i="3"/>
  <c r="V23" i="3"/>
  <c r="K23" i="3"/>
  <c r="J23" i="3"/>
  <c r="G23" i="3"/>
  <c r="F23" i="3"/>
  <c r="EW22" i="3"/>
  <c r="EV22" i="3"/>
  <c r="EU22" i="3"/>
  <c r="EE22" i="3"/>
  <c r="ED22" i="3"/>
  <c r="EC22" i="3"/>
  <c r="DM22" i="3"/>
  <c r="DL22" i="3"/>
  <c r="DK22" i="3"/>
  <c r="CU22" i="3"/>
  <c r="CT22" i="3"/>
  <c r="CS22" i="3"/>
  <c r="CC22" i="3"/>
  <c r="CB22" i="3"/>
  <c r="CA22" i="3"/>
  <c r="BW22" i="3"/>
  <c r="BV22" i="3"/>
  <c r="BU22" i="3"/>
  <c r="BG22" i="3"/>
  <c r="BF22" i="3"/>
  <c r="AU22" i="3"/>
  <c r="AT22" i="3"/>
  <c r="AI22" i="3"/>
  <c r="AH22" i="3"/>
  <c r="W22" i="3"/>
  <c r="V22" i="3"/>
  <c r="K22" i="3"/>
  <c r="J22" i="3"/>
  <c r="G22" i="3"/>
  <c r="F22" i="3"/>
  <c r="EW21" i="3"/>
  <c r="EV21" i="3"/>
  <c r="EU21" i="3"/>
  <c r="EE21" i="3"/>
  <c r="ED21" i="3"/>
  <c r="EC21" i="3"/>
  <c r="DM21" i="3"/>
  <c r="DL21" i="3"/>
  <c r="DK21" i="3"/>
  <c r="CU21" i="3"/>
  <c r="CT21" i="3"/>
  <c r="CS21" i="3"/>
  <c r="CC21" i="3"/>
  <c r="CB21" i="3"/>
  <c r="CA21" i="3"/>
  <c r="BW21" i="3"/>
  <c r="BV21" i="3"/>
  <c r="BU21" i="3"/>
  <c r="BG21" i="3"/>
  <c r="BF21" i="3"/>
  <c r="AU21" i="3"/>
  <c r="AT21" i="3"/>
  <c r="AI21" i="3"/>
  <c r="AH21" i="3"/>
  <c r="W21" i="3"/>
  <c r="V21" i="3"/>
  <c r="K21" i="3"/>
  <c r="J21" i="3"/>
  <c r="G21" i="3"/>
  <c r="F21" i="3"/>
  <c r="EW20" i="3"/>
  <c r="EV20" i="3"/>
  <c r="EU20" i="3"/>
  <c r="EE20" i="3"/>
  <c r="ED20" i="3"/>
  <c r="EC20" i="3"/>
  <c r="DM20" i="3"/>
  <c r="DL20" i="3"/>
  <c r="DK20" i="3"/>
  <c r="CU20" i="3"/>
  <c r="CT20" i="3"/>
  <c r="CS20" i="3"/>
  <c r="CC20" i="3"/>
  <c r="CB20" i="3"/>
  <c r="CA20" i="3"/>
  <c r="BW20" i="3"/>
  <c r="BV20" i="3"/>
  <c r="BU20" i="3"/>
  <c r="BG20" i="3"/>
  <c r="BF20" i="3"/>
  <c r="AU20" i="3"/>
  <c r="AT20" i="3"/>
  <c r="AI20" i="3"/>
  <c r="AH20" i="3"/>
  <c r="W20" i="3"/>
  <c r="V20" i="3"/>
  <c r="K20" i="3"/>
  <c r="J20" i="3"/>
  <c r="G20" i="3"/>
  <c r="F20" i="3"/>
  <c r="EW19" i="3"/>
  <c r="EV19" i="3"/>
  <c r="EU19" i="3"/>
  <c r="EE19" i="3"/>
  <c r="ED19" i="3"/>
  <c r="EC19" i="3"/>
  <c r="DM19" i="3"/>
  <c r="DL19" i="3"/>
  <c r="DK19" i="3"/>
  <c r="CU19" i="3"/>
  <c r="CT19" i="3"/>
  <c r="CS19" i="3"/>
  <c r="CC19" i="3"/>
  <c r="CB19" i="3"/>
  <c r="CA19" i="3"/>
  <c r="BW19" i="3"/>
  <c r="BV19" i="3"/>
  <c r="BU19" i="3"/>
  <c r="BG19" i="3"/>
  <c r="BF19" i="3"/>
  <c r="AU19" i="3"/>
  <c r="AT19" i="3"/>
  <c r="AI19" i="3"/>
  <c r="AH19" i="3"/>
  <c r="W19" i="3"/>
  <c r="V19" i="3"/>
  <c r="K19" i="3"/>
  <c r="J19" i="3"/>
  <c r="G19" i="3"/>
  <c r="F19" i="3"/>
  <c r="EW18" i="3"/>
  <c r="EV18" i="3"/>
  <c r="EU18" i="3"/>
  <c r="EE18" i="3"/>
  <c r="ED18" i="3"/>
  <c r="EC18" i="3"/>
  <c r="DM18" i="3"/>
  <c r="DL18" i="3"/>
  <c r="DK18" i="3"/>
  <c r="CU18" i="3"/>
  <c r="CT18" i="3"/>
  <c r="CS18" i="3"/>
  <c r="CC18" i="3"/>
  <c r="CB18" i="3"/>
  <c r="CA18" i="3"/>
  <c r="BW18" i="3"/>
  <c r="BV18" i="3"/>
  <c r="BU18" i="3"/>
  <c r="BG18" i="3"/>
  <c r="BF18" i="3"/>
  <c r="AU18" i="3"/>
  <c r="AT18" i="3"/>
  <c r="AI18" i="3"/>
  <c r="AH18" i="3"/>
  <c r="W18" i="3"/>
  <c r="V18" i="3"/>
  <c r="K18" i="3"/>
  <c r="J18" i="3"/>
  <c r="G18" i="3"/>
  <c r="F18" i="3"/>
  <c r="EW17" i="3"/>
  <c r="EV17" i="3"/>
  <c r="EU17" i="3"/>
  <c r="EE17" i="3"/>
  <c r="ED17" i="3"/>
  <c r="EC17" i="3"/>
  <c r="DM17" i="3"/>
  <c r="DL17" i="3"/>
  <c r="DK17" i="3"/>
  <c r="CU17" i="3"/>
  <c r="CT17" i="3"/>
  <c r="CS17" i="3"/>
  <c r="CC17" i="3"/>
  <c r="CB17" i="3"/>
  <c r="CA17" i="3"/>
  <c r="BW17" i="3"/>
  <c r="BV17" i="3"/>
  <c r="BU17" i="3"/>
  <c r="BG17" i="3"/>
  <c r="BF17" i="3"/>
  <c r="AU17" i="3"/>
  <c r="AT17" i="3"/>
  <c r="AI17" i="3"/>
  <c r="AH17" i="3"/>
  <c r="W17" i="3"/>
  <c r="V17" i="3"/>
  <c r="K17" i="3"/>
  <c r="J17" i="3"/>
  <c r="G17" i="3"/>
  <c r="F17" i="3"/>
  <c r="EW16" i="3"/>
  <c r="EV16" i="3"/>
  <c r="EU16" i="3"/>
  <c r="EE16" i="3"/>
  <c r="ED16" i="3"/>
  <c r="EC16" i="3"/>
  <c r="DM16" i="3"/>
  <c r="DL16" i="3"/>
  <c r="DK16" i="3"/>
  <c r="CU16" i="3"/>
  <c r="CT16" i="3"/>
  <c r="CS16" i="3"/>
  <c r="CC16" i="3"/>
  <c r="CB16" i="3"/>
  <c r="CA16" i="3"/>
  <c r="BW16" i="3"/>
  <c r="BV16" i="3"/>
  <c r="BU16" i="3"/>
  <c r="BG16" i="3"/>
  <c r="BF16" i="3"/>
  <c r="AU16" i="3"/>
  <c r="AT16" i="3"/>
  <c r="AI16" i="3"/>
  <c r="AH16" i="3"/>
  <c r="W16" i="3"/>
  <c r="V16" i="3"/>
  <c r="K16" i="3"/>
  <c r="J16" i="3"/>
  <c r="G16" i="3"/>
  <c r="F16" i="3"/>
  <c r="EW15" i="3"/>
  <c r="EV15" i="3"/>
  <c r="EU15" i="3"/>
  <c r="EE15" i="3"/>
  <c r="ED15" i="3"/>
  <c r="EC15" i="3"/>
  <c r="DM15" i="3"/>
  <c r="DL15" i="3"/>
  <c r="DK15" i="3"/>
  <c r="CU15" i="3"/>
  <c r="CT15" i="3"/>
  <c r="CS15" i="3"/>
  <c r="CC15" i="3"/>
  <c r="CB15" i="3"/>
  <c r="CA15" i="3"/>
  <c r="BW15" i="3"/>
  <c r="BV15" i="3"/>
  <c r="BU15" i="3"/>
  <c r="BG15" i="3"/>
  <c r="BF15" i="3"/>
  <c r="AU15" i="3"/>
  <c r="AT15" i="3"/>
  <c r="AI15" i="3"/>
  <c r="AH15" i="3"/>
  <c r="W15" i="3"/>
  <c r="V15" i="3"/>
  <c r="K15" i="3"/>
  <c r="J15" i="3"/>
  <c r="G15" i="3"/>
  <c r="F15" i="3"/>
  <c r="EW14" i="3"/>
  <c r="EV14" i="3"/>
  <c r="EU14" i="3"/>
  <c r="EE14" i="3"/>
  <c r="ED14" i="3"/>
  <c r="EC14" i="3"/>
  <c r="DM14" i="3"/>
  <c r="DL14" i="3"/>
  <c r="DK14" i="3"/>
  <c r="CU14" i="3"/>
  <c r="CT14" i="3"/>
  <c r="CS14" i="3"/>
  <c r="CC14" i="3"/>
  <c r="CB14" i="3"/>
  <c r="CA14" i="3"/>
  <c r="BW14" i="3"/>
  <c r="BV14" i="3"/>
  <c r="BU14" i="3"/>
  <c r="BG14" i="3"/>
  <c r="BF14" i="3"/>
  <c r="AU14" i="3"/>
  <c r="AT14" i="3"/>
  <c r="AI14" i="3"/>
  <c r="AH14" i="3"/>
  <c r="W14" i="3"/>
  <c r="V14" i="3"/>
  <c r="K14" i="3"/>
  <c r="J14" i="3"/>
  <c r="G14" i="3"/>
  <c r="F14" i="3"/>
  <c r="EW13" i="3"/>
  <c r="EV13" i="3"/>
  <c r="EU13" i="3"/>
  <c r="EE13" i="3"/>
  <c r="ED13" i="3"/>
  <c r="EC13" i="3"/>
  <c r="DM13" i="3"/>
  <c r="DL13" i="3"/>
  <c r="DK13" i="3"/>
  <c r="CU13" i="3"/>
  <c r="CT13" i="3"/>
  <c r="CS13" i="3"/>
  <c r="CC13" i="3"/>
  <c r="CB13" i="3"/>
  <c r="CA13" i="3"/>
  <c r="BW13" i="3"/>
  <c r="BV13" i="3"/>
  <c r="BU13" i="3"/>
  <c r="BG13" i="3"/>
  <c r="BF13" i="3"/>
  <c r="AU13" i="3"/>
  <c r="AT13" i="3"/>
  <c r="AI13" i="3"/>
  <c r="AH13" i="3"/>
  <c r="W13" i="3"/>
  <c r="V13" i="3"/>
  <c r="K13" i="3"/>
  <c r="J13" i="3"/>
  <c r="G13" i="3"/>
  <c r="F13" i="3"/>
  <c r="EW12" i="3"/>
  <c r="EV12" i="3"/>
  <c r="EU12" i="3"/>
  <c r="EE12" i="3"/>
  <c r="ED12" i="3"/>
  <c r="EC12" i="3"/>
  <c r="DM12" i="3"/>
  <c r="DL12" i="3"/>
  <c r="DK12" i="3"/>
  <c r="CU12" i="3"/>
  <c r="CT12" i="3"/>
  <c r="CS12" i="3"/>
  <c r="CC12" i="3"/>
  <c r="CB12" i="3"/>
  <c r="CA12" i="3"/>
  <c r="BW12" i="3"/>
  <c r="BV12" i="3"/>
  <c r="BU12" i="3"/>
  <c r="BG12" i="3"/>
  <c r="BF12" i="3"/>
  <c r="AU12" i="3"/>
  <c r="AT12" i="3"/>
  <c r="AI12" i="3"/>
  <c r="AH12" i="3"/>
  <c r="W12" i="3"/>
  <c r="V12" i="3"/>
  <c r="K12" i="3"/>
  <c r="J12" i="3"/>
  <c r="G12" i="3"/>
  <c r="F12" i="3"/>
  <c r="EW11" i="3"/>
  <c r="EV11" i="3"/>
  <c r="EU11" i="3"/>
  <c r="EE11" i="3"/>
  <c r="ED11" i="3"/>
  <c r="EC11" i="3"/>
  <c r="DM11" i="3"/>
  <c r="DL11" i="3"/>
  <c r="DK11" i="3"/>
  <c r="CU11" i="3"/>
  <c r="CT11" i="3"/>
  <c r="CS11" i="3"/>
  <c r="CC11" i="3"/>
  <c r="CB11" i="3"/>
  <c r="CA11" i="3"/>
  <c r="BW11" i="3"/>
  <c r="BV11" i="3"/>
  <c r="BU11" i="3"/>
  <c r="BG11" i="3"/>
  <c r="BF11" i="3"/>
  <c r="AU11" i="3"/>
  <c r="AT11" i="3"/>
  <c r="AI11" i="3"/>
  <c r="AH11" i="3"/>
  <c r="W11" i="3"/>
  <c r="V11" i="3"/>
  <c r="K11" i="3"/>
  <c r="J11" i="3"/>
  <c r="G11" i="3"/>
  <c r="F11" i="3"/>
  <c r="EW10" i="3"/>
  <c r="EV10" i="3"/>
  <c r="EU10" i="3"/>
  <c r="EE10" i="3"/>
  <c r="ED10" i="3"/>
  <c r="EC10" i="3"/>
  <c r="DM10" i="3"/>
  <c r="DL10" i="3"/>
  <c r="DK10" i="3"/>
  <c r="CU10" i="3"/>
  <c r="CT10" i="3"/>
  <c r="CS10" i="3"/>
  <c r="CC10" i="3"/>
  <c r="CB10" i="3"/>
  <c r="CA10" i="3"/>
  <c r="BW10" i="3"/>
  <c r="BV10" i="3"/>
  <c r="BU10" i="3"/>
  <c r="BG10" i="3"/>
  <c r="BF10" i="3"/>
  <c r="AU10" i="3"/>
  <c r="AT10" i="3"/>
  <c r="AI10" i="3"/>
  <c r="AH10" i="3"/>
  <c r="W10" i="3"/>
  <c r="V10" i="3"/>
  <c r="K10" i="3"/>
  <c r="J10" i="3"/>
  <c r="G10" i="3"/>
  <c r="F10" i="3"/>
  <c r="EW9" i="3"/>
  <c r="EV9" i="3"/>
  <c r="EU9" i="3"/>
  <c r="EE9" i="3"/>
  <c r="ED9" i="3"/>
  <c r="EC9" i="3"/>
  <c r="DM9" i="3"/>
  <c r="DL9" i="3"/>
  <c r="DK9" i="3"/>
  <c r="CU9" i="3"/>
  <c r="CT9" i="3"/>
  <c r="CS9" i="3"/>
  <c r="CC9" i="3"/>
  <c r="CB9" i="3"/>
  <c r="CA9" i="3"/>
  <c r="BW9" i="3"/>
  <c r="BV9" i="3"/>
  <c r="BU9" i="3"/>
  <c r="BG9" i="3"/>
  <c r="BF9" i="3"/>
  <c r="AU9" i="3"/>
  <c r="AT9" i="3"/>
  <c r="AI9" i="3"/>
  <c r="AH9" i="3"/>
  <c r="W9" i="3"/>
  <c r="V9" i="3"/>
  <c r="K9" i="3"/>
  <c r="J9" i="3"/>
  <c r="G9" i="3"/>
  <c r="F9" i="3"/>
  <c r="EW8" i="3"/>
  <c r="EV8" i="3"/>
  <c r="EU8" i="3"/>
  <c r="EE8" i="3"/>
  <c r="ED8" i="3"/>
  <c r="EC8" i="3"/>
  <c r="DM8" i="3"/>
  <c r="DL8" i="3"/>
  <c r="DK8" i="3"/>
  <c r="CU8" i="3"/>
  <c r="CT8" i="3"/>
  <c r="CS8" i="3"/>
  <c r="CC8" i="3"/>
  <c r="CB8" i="3"/>
  <c r="CA8" i="3"/>
  <c r="BW8" i="3"/>
  <c r="BV8" i="3"/>
  <c r="BU8" i="3"/>
  <c r="BG8" i="3"/>
  <c r="BF8" i="3"/>
  <c r="AU8" i="3"/>
  <c r="AT8" i="3"/>
  <c r="AI8" i="3"/>
  <c r="AH8" i="3"/>
  <c r="W8" i="3"/>
  <c r="V8" i="3"/>
  <c r="K8" i="3"/>
  <c r="J8" i="3"/>
  <c r="G8" i="3"/>
  <c r="F8" i="3"/>
  <c r="EW7" i="3"/>
  <c r="EV7" i="3"/>
  <c r="EU7" i="3"/>
  <c r="EE7" i="3"/>
  <c r="ED7" i="3"/>
  <c r="EC7" i="3"/>
  <c r="DM7" i="3"/>
  <c r="DL7" i="3"/>
  <c r="DK7" i="3"/>
  <c r="CU7" i="3"/>
  <c r="CT7" i="3"/>
  <c r="CS7" i="3"/>
  <c r="CC7" i="3"/>
  <c r="CB7" i="3"/>
  <c r="CA7" i="3"/>
  <c r="BW7" i="3"/>
  <c r="BV7" i="3"/>
  <c r="BU7" i="3"/>
  <c r="BG7" i="3"/>
  <c r="BF7" i="3"/>
  <c r="AU7" i="3"/>
  <c r="AT7" i="3"/>
  <c r="AI7" i="3"/>
  <c r="AH7" i="3"/>
  <c r="W7" i="3"/>
  <c r="V7" i="3"/>
  <c r="K7" i="3"/>
  <c r="J7" i="3"/>
  <c r="G7" i="3"/>
  <c r="F7" i="3"/>
  <c r="EW6" i="3"/>
  <c r="EV6" i="3"/>
  <c r="EU6" i="3"/>
  <c r="EE6" i="3"/>
  <c r="ED6" i="3"/>
  <c r="EC6" i="3"/>
  <c r="DM6" i="3"/>
  <c r="DL6" i="3"/>
  <c r="DK6" i="3"/>
  <c r="CU6" i="3"/>
  <c r="CT6" i="3"/>
  <c r="CS6" i="3"/>
  <c r="CC6" i="3"/>
  <c r="CB6" i="3"/>
  <c r="CA6" i="3"/>
  <c r="BW6" i="3"/>
  <c r="BV6" i="3"/>
  <c r="BU6" i="3"/>
  <c r="BG6" i="3"/>
  <c r="BF6" i="3"/>
  <c r="AU6" i="3"/>
  <c r="AT6" i="3"/>
  <c r="AI6" i="3"/>
  <c r="AH6" i="3"/>
  <c r="W6" i="3"/>
  <c r="V6" i="3"/>
  <c r="K6" i="3"/>
  <c r="J6" i="3"/>
  <c r="G6" i="3"/>
  <c r="F6" i="3"/>
  <c r="CB9" i="13"/>
  <c r="CA23" i="13"/>
  <c r="CA13" i="13"/>
  <c r="CA24" i="13"/>
  <c r="CA22" i="13"/>
  <c r="CA26" i="13"/>
  <c r="CA16" i="13"/>
  <c r="CA15" i="13"/>
  <c r="CA29" i="13"/>
  <c r="CA32" i="13"/>
  <c r="BZ20" i="13"/>
  <c r="BZ26" i="13"/>
  <c r="BZ12" i="13"/>
  <c r="BZ18" i="13"/>
  <c r="CA21" i="13"/>
  <c r="BZ23" i="13"/>
  <c r="CA9" i="13"/>
  <c r="CA31" i="13"/>
  <c r="CA17" i="13"/>
  <c r="BZ31" i="13"/>
  <c r="BZ16" i="13"/>
  <c r="CA28" i="13"/>
  <c r="CA27" i="13"/>
  <c r="BZ24" i="13"/>
  <c r="CA25" i="13"/>
  <c r="BZ19" i="13"/>
  <c r="BZ28" i="13"/>
  <c r="CA30" i="13"/>
  <c r="BZ17" i="13"/>
  <c r="CA19" i="13"/>
  <c r="CA18" i="13"/>
  <c r="CA14" i="13"/>
  <c r="BZ15" i="13"/>
  <c r="CA20" i="13"/>
  <c r="BZ25" i="13"/>
  <c r="BZ32" i="13"/>
  <c r="BZ30" i="13"/>
  <c r="BZ29" i="13"/>
  <c r="BZ21" i="13"/>
  <c r="BZ13" i="13"/>
  <c r="CA12" i="13"/>
  <c r="BZ9" i="13"/>
  <c r="BZ22" i="13"/>
  <c r="BZ14" i="13"/>
  <c r="BZ27" i="13"/>
  <c r="CJ11" i="13" l="1"/>
  <c r="AW4" i="31"/>
  <c r="CN24" i="13"/>
  <c r="CN27" i="13"/>
  <c r="CN17" i="13"/>
  <c r="CN32" i="13"/>
  <c r="CN31" i="13"/>
  <c r="CN13" i="13"/>
  <c r="CN19" i="13"/>
  <c r="CN21" i="13"/>
  <c r="CN12" i="13"/>
  <c r="CN18" i="13"/>
  <c r="CN26" i="13"/>
  <c r="CN15" i="13"/>
  <c r="CN23" i="13"/>
  <c r="CN28" i="13"/>
  <c r="CN9" i="13"/>
  <c r="CN22" i="13"/>
  <c r="CN14" i="13"/>
  <c r="CN20" i="13"/>
  <c r="CN29" i="13"/>
  <c r="CN16" i="13"/>
  <c r="CN25" i="13"/>
  <c r="CN30" i="13"/>
  <c r="U3" i="31"/>
  <c r="V3" i="31"/>
  <c r="U4" i="31"/>
  <c r="V4" i="31"/>
  <c r="U5" i="31"/>
  <c r="V5" i="31"/>
  <c r="U6" i="31"/>
  <c r="V6" i="31"/>
  <c r="U7" i="31"/>
  <c r="V7" i="31"/>
  <c r="U8" i="31"/>
  <c r="V8" i="31"/>
  <c r="U9" i="31"/>
  <c r="V9" i="31"/>
  <c r="U10" i="31"/>
  <c r="V10" i="31"/>
  <c r="U11" i="31"/>
  <c r="V11" i="31"/>
  <c r="U12" i="31"/>
  <c r="V12" i="31"/>
  <c r="U13" i="31"/>
  <c r="V13" i="31"/>
  <c r="U14" i="31"/>
  <c r="V14" i="31"/>
  <c r="U15" i="31"/>
  <c r="V15" i="31"/>
  <c r="U16" i="31"/>
  <c r="V16" i="31"/>
  <c r="U17" i="31"/>
  <c r="V17" i="31"/>
  <c r="U18" i="31"/>
  <c r="V18" i="31"/>
  <c r="U19" i="31"/>
  <c r="V19" i="31"/>
  <c r="U20" i="31"/>
  <c r="V20" i="31"/>
  <c r="U21" i="31"/>
  <c r="V21" i="31"/>
  <c r="U22" i="31"/>
  <c r="V22" i="31"/>
  <c r="U23" i="31"/>
  <c r="V23" i="31"/>
  <c r="U24" i="31"/>
  <c r="V24" i="31"/>
  <c r="U25" i="31"/>
  <c r="V25" i="31"/>
  <c r="U26" i="31"/>
  <c r="V26" i="31"/>
  <c r="V2" i="31"/>
  <c r="U2" i="31"/>
  <c r="I3" i="31" l="1"/>
  <c r="J3" i="31"/>
  <c r="M3" i="31"/>
  <c r="N3" i="31"/>
  <c r="T3" i="31"/>
  <c r="Z3" i="31"/>
  <c r="AA3" i="31"/>
  <c r="AB3" i="31"/>
  <c r="AH3" i="31"/>
  <c r="AK3" i="31"/>
  <c r="BP3" i="31"/>
  <c r="X4" i="31"/>
  <c r="X5" i="31"/>
  <c r="X7" i="31"/>
  <c r="X10" i="31"/>
  <c r="X12" i="31"/>
  <c r="X14" i="31"/>
  <c r="X16" i="31"/>
  <c r="X17" i="31"/>
  <c r="X18" i="31"/>
  <c r="X19" i="31"/>
  <c r="X20" i="31"/>
  <c r="X21" i="31"/>
  <c r="X22" i="31"/>
  <c r="X23" i="31"/>
  <c r="X24" i="31"/>
  <c r="X25" i="31"/>
  <c r="X26" i="31"/>
  <c r="W3" i="31" l="1"/>
  <c r="X11" i="31"/>
  <c r="X13" i="31"/>
  <c r="X6" i="31"/>
  <c r="X9" i="31"/>
  <c r="X3" i="31"/>
  <c r="DF8" i="13" a="1"/>
  <c r="DF8" i="13" s="1"/>
  <c r="DG8" i="13" s="1"/>
  <c r="X2" i="31"/>
  <c r="X8" i="31"/>
  <c r="AJ3" i="31"/>
  <c r="Y3" i="31"/>
  <c r="BG3" i="31"/>
  <c r="AI3" i="31"/>
  <c r="AW31" i="13"/>
  <c r="AW25" i="13"/>
  <c r="AW26" i="13"/>
  <c r="AW24" i="13"/>
  <c r="EW36" i="3"/>
  <c r="EV36" i="3"/>
  <c r="EU36" i="3"/>
  <c r="EW35" i="3"/>
  <c r="EV35" i="3"/>
  <c r="EU35" i="3"/>
  <c r="EW33" i="3"/>
  <c r="EV33" i="3"/>
  <c r="EU33" i="3"/>
  <c r="ER1" i="3"/>
  <c r="ER4" i="3" s="1"/>
  <c r="EE36" i="3"/>
  <c r="ED36" i="3"/>
  <c r="EC36" i="3"/>
  <c r="EE35" i="3"/>
  <c r="ED35" i="3"/>
  <c r="EC35" i="3"/>
  <c r="EE33" i="3"/>
  <c r="ED33" i="3"/>
  <c r="EC33" i="3"/>
  <c r="DZ1" i="3"/>
  <c r="DZ4" i="3" s="1"/>
  <c r="DM36" i="3"/>
  <c r="DL36" i="3"/>
  <c r="DK36" i="3"/>
  <c r="DM35" i="3"/>
  <c r="DL35" i="3"/>
  <c r="DK35" i="3"/>
  <c r="DM33" i="3"/>
  <c r="DL33" i="3"/>
  <c r="DK33" i="3"/>
  <c r="DH1" i="3"/>
  <c r="DH4" i="3" s="1"/>
  <c r="BU33" i="3"/>
  <c r="BV33" i="3"/>
  <c r="BW33" i="3"/>
  <c r="CA33" i="3"/>
  <c r="CB33" i="3"/>
  <c r="CC33" i="3"/>
  <c r="CS33" i="3"/>
  <c r="CT33" i="3"/>
  <c r="CU33" i="3"/>
  <c r="CU36" i="3"/>
  <c r="CT36" i="3"/>
  <c r="CS36" i="3"/>
  <c r="CU35" i="3"/>
  <c r="CT35" i="3"/>
  <c r="CS35" i="3"/>
  <c r="BG36" i="3"/>
  <c r="BF36" i="3"/>
  <c r="BG35" i="3"/>
  <c r="BF35" i="3"/>
  <c r="BG33" i="3"/>
  <c r="BF33" i="3"/>
  <c r="BD4" i="3"/>
  <c r="AU36" i="3"/>
  <c r="AT36" i="3"/>
  <c r="AU35" i="3"/>
  <c r="AT35" i="3"/>
  <c r="AU33" i="3"/>
  <c r="AT33" i="3"/>
  <c r="AR4" i="3"/>
  <c r="AI36" i="3"/>
  <c r="AH36" i="3"/>
  <c r="AI35" i="3"/>
  <c r="AH35" i="3"/>
  <c r="AI33" i="3"/>
  <c r="AH33" i="3"/>
  <c r="AF4" i="3"/>
  <c r="AE36" i="3"/>
  <c r="AD36" i="3"/>
  <c r="AA36" i="3"/>
  <c r="Z36" i="3"/>
  <c r="W36" i="3"/>
  <c r="V36" i="3"/>
  <c r="W35" i="3"/>
  <c r="V35" i="3"/>
  <c r="W33" i="3"/>
  <c r="V33" i="3"/>
  <c r="T4" i="3"/>
  <c r="AW17" i="13" l="1"/>
  <c r="AW27" i="13"/>
  <c r="AW32" i="13"/>
  <c r="AW16" i="13"/>
  <c r="AW28" i="13"/>
  <c r="AW29" i="13"/>
  <c r="AW30" i="13"/>
  <c r="BH3" i="31"/>
  <c r="BI8" i="13"/>
  <c r="BJ8" i="13" s="1"/>
  <c r="BG8" i="13"/>
  <c r="BD8" i="13" s="1"/>
  <c r="BP4" i="31"/>
  <c r="BP5" i="31"/>
  <c r="BP6" i="31"/>
  <c r="BP7" i="31"/>
  <c r="BP8" i="31"/>
  <c r="BP9" i="31"/>
  <c r="BP10" i="31"/>
  <c r="BP11" i="31"/>
  <c r="BP12" i="31"/>
  <c r="BP13" i="31"/>
  <c r="BP14" i="31"/>
  <c r="BP15" i="31"/>
  <c r="BP16" i="31"/>
  <c r="BP17" i="31"/>
  <c r="BP18" i="31"/>
  <c r="BP19" i="31"/>
  <c r="BP20" i="31"/>
  <c r="BP21" i="31"/>
  <c r="BP22" i="31"/>
  <c r="BP23" i="31"/>
  <c r="BP24" i="31"/>
  <c r="BP25" i="31"/>
  <c r="BP26" i="31"/>
  <c r="I34" i="13"/>
  <c r="X34" i="13"/>
  <c r="U34" i="13"/>
  <c r="S34" i="13"/>
  <c r="BO8" i="13" l="1"/>
  <c r="BQ8" i="13"/>
  <c r="M4" i="31"/>
  <c r="N4" i="31"/>
  <c r="T4" i="31"/>
  <c r="Z4" i="31"/>
  <c r="AA4" i="31"/>
  <c r="AB4" i="31"/>
  <c r="AH4" i="31"/>
  <c r="AI4" i="31"/>
  <c r="AK4" i="31"/>
  <c r="M5" i="31"/>
  <c r="N5" i="31"/>
  <c r="T5" i="31"/>
  <c r="Z5" i="31"/>
  <c r="AA5" i="31"/>
  <c r="AB5" i="31"/>
  <c r="AH5" i="31"/>
  <c r="AI5" i="31"/>
  <c r="AK5" i="31"/>
  <c r="M6" i="31"/>
  <c r="N6" i="31"/>
  <c r="T6" i="31"/>
  <c r="Z6" i="31"/>
  <c r="AA6" i="31"/>
  <c r="AB6" i="31"/>
  <c r="AH6" i="31"/>
  <c r="AI6" i="31"/>
  <c r="AK6" i="31"/>
  <c r="M7" i="31"/>
  <c r="N7" i="31"/>
  <c r="T7" i="31"/>
  <c r="Z7" i="31"/>
  <c r="AA7" i="31"/>
  <c r="AB7" i="31"/>
  <c r="AH7" i="31"/>
  <c r="AI7" i="31"/>
  <c r="AK7" i="31"/>
  <c r="M8" i="31"/>
  <c r="N8" i="31"/>
  <c r="T8" i="31"/>
  <c r="Z8" i="31"/>
  <c r="AA8" i="31"/>
  <c r="AB8" i="31"/>
  <c r="AH8" i="31"/>
  <c r="AI8" i="31"/>
  <c r="AK8" i="31"/>
  <c r="M9" i="31"/>
  <c r="N9" i="31"/>
  <c r="T9" i="31"/>
  <c r="Z9" i="31"/>
  <c r="AA9" i="31"/>
  <c r="AB9" i="31"/>
  <c r="AH9" i="31"/>
  <c r="AI9" i="31"/>
  <c r="AK9" i="31"/>
  <c r="M10" i="31"/>
  <c r="N10" i="31"/>
  <c r="T10" i="31"/>
  <c r="Z10" i="31"/>
  <c r="AA10" i="31"/>
  <c r="AB10" i="31"/>
  <c r="AH10" i="31"/>
  <c r="AI10" i="31"/>
  <c r="AK10" i="31"/>
  <c r="M11" i="31"/>
  <c r="N11" i="31"/>
  <c r="T11" i="31"/>
  <c r="Z11" i="31"/>
  <c r="AA11" i="31"/>
  <c r="AB11" i="31"/>
  <c r="AH11" i="31"/>
  <c r="AI11" i="31"/>
  <c r="AK11" i="31"/>
  <c r="M12" i="31"/>
  <c r="N12" i="31"/>
  <c r="T12" i="31"/>
  <c r="Z12" i="31"/>
  <c r="AA12" i="31"/>
  <c r="AB12" i="31"/>
  <c r="AH12" i="31"/>
  <c r="AI12" i="31"/>
  <c r="AK12" i="31"/>
  <c r="M13" i="31"/>
  <c r="N13" i="31"/>
  <c r="T13" i="31"/>
  <c r="Z13" i="31"/>
  <c r="AA13" i="31"/>
  <c r="AB13" i="31"/>
  <c r="AH13" i="31"/>
  <c r="AI13" i="31"/>
  <c r="AK13" i="31"/>
  <c r="M14" i="31"/>
  <c r="N14" i="31"/>
  <c r="T14" i="31"/>
  <c r="Z14" i="31"/>
  <c r="AA14" i="31"/>
  <c r="AB14" i="31"/>
  <c r="AH14" i="31"/>
  <c r="AI14" i="31"/>
  <c r="AK14" i="31"/>
  <c r="M15" i="31"/>
  <c r="N15" i="31"/>
  <c r="T15" i="31"/>
  <c r="Z15" i="31"/>
  <c r="AA15" i="31"/>
  <c r="AB15" i="31"/>
  <c r="AH15" i="31"/>
  <c r="AI15" i="31"/>
  <c r="AK15" i="31"/>
  <c r="M16" i="31"/>
  <c r="N16" i="31"/>
  <c r="T16" i="31"/>
  <c r="Z16" i="31"/>
  <c r="AA16" i="31"/>
  <c r="AB16" i="31"/>
  <c r="AH16" i="31"/>
  <c r="AI16" i="31"/>
  <c r="AK16" i="31"/>
  <c r="M17" i="31"/>
  <c r="N17" i="31"/>
  <c r="T17" i="31"/>
  <c r="Z17" i="31"/>
  <c r="AA17" i="31"/>
  <c r="AB17" i="31"/>
  <c r="AH17" i="31"/>
  <c r="AI17" i="31"/>
  <c r="AK17" i="31"/>
  <c r="M18" i="31"/>
  <c r="N18" i="31"/>
  <c r="T18" i="31"/>
  <c r="Z18" i="31"/>
  <c r="AA18" i="31"/>
  <c r="AB18" i="31"/>
  <c r="AH18" i="31"/>
  <c r="AI18" i="31"/>
  <c r="AK18" i="31"/>
  <c r="M19" i="31"/>
  <c r="N19" i="31"/>
  <c r="T19" i="31"/>
  <c r="Z19" i="31"/>
  <c r="AA19" i="31"/>
  <c r="AB19" i="31"/>
  <c r="AH19" i="31"/>
  <c r="AI19" i="31"/>
  <c r="AK19" i="31"/>
  <c r="M20" i="31"/>
  <c r="N20" i="31"/>
  <c r="T20" i="31"/>
  <c r="Z20" i="31"/>
  <c r="AA20" i="31"/>
  <c r="AB20" i="31"/>
  <c r="AH20" i="31"/>
  <c r="AI20" i="31"/>
  <c r="AK20" i="31"/>
  <c r="M21" i="31"/>
  <c r="N21" i="31"/>
  <c r="T21" i="31"/>
  <c r="Z21" i="31"/>
  <c r="AA21" i="31"/>
  <c r="AB21" i="31"/>
  <c r="AH21" i="31"/>
  <c r="AI21" i="31"/>
  <c r="AK21" i="31"/>
  <c r="M22" i="31"/>
  <c r="N22" i="31"/>
  <c r="T22" i="31"/>
  <c r="Z22" i="31"/>
  <c r="AA22" i="31"/>
  <c r="AB22" i="31"/>
  <c r="AH22" i="31"/>
  <c r="AI22" i="31"/>
  <c r="AK22" i="31"/>
  <c r="M23" i="31"/>
  <c r="N23" i="31"/>
  <c r="T23" i="31"/>
  <c r="Z23" i="31"/>
  <c r="AA23" i="31"/>
  <c r="AB23" i="31"/>
  <c r="AH23" i="31"/>
  <c r="AI23" i="31"/>
  <c r="AK23" i="31"/>
  <c r="M24" i="31"/>
  <c r="N24" i="31"/>
  <c r="T24" i="31"/>
  <c r="Z24" i="31"/>
  <c r="AA24" i="31"/>
  <c r="AB24" i="31"/>
  <c r="AH24" i="31"/>
  <c r="AI24" i="31"/>
  <c r="AK24" i="31"/>
  <c r="M25" i="31"/>
  <c r="N25" i="31"/>
  <c r="T25" i="31"/>
  <c r="Z25" i="31"/>
  <c r="AA25" i="31"/>
  <c r="AB25" i="31"/>
  <c r="AH25" i="31"/>
  <c r="AI25" i="31"/>
  <c r="AK25" i="31"/>
  <c r="M26" i="31"/>
  <c r="N26" i="31"/>
  <c r="T26" i="31"/>
  <c r="Z26" i="31"/>
  <c r="AA26" i="31"/>
  <c r="AB26" i="31"/>
  <c r="AH26" i="31"/>
  <c r="AI26" i="31"/>
  <c r="AK26" i="31"/>
  <c r="AI2" i="31"/>
  <c r="BP2" i="31"/>
  <c r="AK2" i="31"/>
  <c r="AH2" i="31"/>
  <c r="AB2" i="31"/>
  <c r="AA2" i="31"/>
  <c r="L7" i="26"/>
  <c r="L8" i="26"/>
  <c r="L9" i="26"/>
  <c r="L10" i="26"/>
  <c r="L11" i="26"/>
  <c r="L12" i="26"/>
  <c r="L13" i="26"/>
  <c r="L14" i="26"/>
  <c r="L15" i="26"/>
  <c r="L16" i="26"/>
  <c r="L17" i="26"/>
  <c r="L18" i="26"/>
  <c r="L19" i="26"/>
  <c r="L20" i="26"/>
  <c r="L21" i="26"/>
  <c r="L22" i="26"/>
  <c r="L23" i="26"/>
  <c r="L24" i="26"/>
  <c r="L25" i="26"/>
  <c r="L26" i="26"/>
  <c r="L27" i="26"/>
  <c r="L28" i="26"/>
  <c r="L29" i="26"/>
  <c r="L30" i="26"/>
  <c r="E7" i="26"/>
  <c r="E8" i="26"/>
  <c r="E9" i="26"/>
  <c r="E10" i="26"/>
  <c r="E11" i="26"/>
  <c r="E12" i="26"/>
  <c r="E13" i="26"/>
  <c r="E14" i="26"/>
  <c r="E15" i="26"/>
  <c r="E16" i="26"/>
  <c r="E17" i="26"/>
  <c r="E18" i="26"/>
  <c r="E19" i="26"/>
  <c r="E20" i="26"/>
  <c r="E21" i="26"/>
  <c r="E22" i="26"/>
  <c r="E23" i="26"/>
  <c r="E24" i="26"/>
  <c r="E25" i="26"/>
  <c r="E26" i="26"/>
  <c r="E27" i="26"/>
  <c r="E28" i="26"/>
  <c r="E29" i="26"/>
  <c r="E30" i="26"/>
  <c r="L6" i="26"/>
  <c r="E6" i="26"/>
  <c r="Z2" i="31"/>
  <c r="T2" i="31"/>
  <c r="N2" i="31"/>
  <c r="M2" i="31"/>
  <c r="J4" i="31"/>
  <c r="J5" i="31"/>
  <c r="J6" i="31"/>
  <c r="J7" i="31"/>
  <c r="J8" i="31"/>
  <c r="J9" i="31"/>
  <c r="J10" i="31"/>
  <c r="J11" i="31"/>
  <c r="J12" i="31"/>
  <c r="J13" i="31"/>
  <c r="J14" i="31"/>
  <c r="J15" i="31"/>
  <c r="J16" i="31"/>
  <c r="J17" i="31"/>
  <c r="J18" i="31"/>
  <c r="J19" i="31"/>
  <c r="J20" i="31"/>
  <c r="J21" i="31"/>
  <c r="J22" i="31"/>
  <c r="J23" i="31"/>
  <c r="J24" i="31"/>
  <c r="J25" i="31"/>
  <c r="J26" i="31"/>
  <c r="I4" i="31"/>
  <c r="I5" i="31"/>
  <c r="I6" i="31"/>
  <c r="I7" i="31"/>
  <c r="I8" i="31"/>
  <c r="I9" i="31"/>
  <c r="I10" i="31"/>
  <c r="I11" i="31"/>
  <c r="I12" i="31"/>
  <c r="I13" i="31"/>
  <c r="I14" i="31"/>
  <c r="I15" i="31"/>
  <c r="I16" i="31"/>
  <c r="I17" i="31"/>
  <c r="I18" i="31"/>
  <c r="I19" i="31"/>
  <c r="I20" i="31"/>
  <c r="I21" i="31"/>
  <c r="I22" i="31"/>
  <c r="I23" i="31"/>
  <c r="I24" i="31"/>
  <c r="I25" i="31"/>
  <c r="I26" i="31"/>
  <c r="J2" i="31"/>
  <c r="I2" i="31"/>
  <c r="E1" i="31"/>
  <c r="AO25" i="31" l="1"/>
  <c r="AU25" i="31"/>
  <c r="AL25" i="31"/>
  <c r="BH23" i="31"/>
  <c r="AL23" i="31"/>
  <c r="AU23" i="31"/>
  <c r="AJ21" i="31"/>
  <c r="AU21" i="31"/>
  <c r="AL21" i="31"/>
  <c r="AJ19" i="31"/>
  <c r="AU19" i="31"/>
  <c r="AL19" i="31"/>
  <c r="AO17" i="31"/>
  <c r="AL17" i="31"/>
  <c r="AU17" i="31"/>
  <c r="AJ15" i="31"/>
  <c r="AU13" i="31"/>
  <c r="AJ11" i="31"/>
  <c r="AU11" i="31"/>
  <c r="AL11" i="31"/>
  <c r="AU9" i="31"/>
  <c r="AJ7" i="31"/>
  <c r="AU7" i="31"/>
  <c r="AL7" i="31"/>
  <c r="AU5" i="31"/>
  <c r="AL5" i="31"/>
  <c r="AO26" i="31"/>
  <c r="AL26" i="31"/>
  <c r="AU26" i="31"/>
  <c r="Y24" i="31"/>
  <c r="AU24" i="31"/>
  <c r="AL24" i="31"/>
  <c r="AX22" i="31"/>
  <c r="AL22" i="31"/>
  <c r="AU22" i="31"/>
  <c r="AO20" i="31"/>
  <c r="AU20" i="31"/>
  <c r="AL20" i="31"/>
  <c r="AO18" i="31"/>
  <c r="AU18" i="31"/>
  <c r="AL18" i="31"/>
  <c r="Y16" i="31"/>
  <c r="AL16" i="31"/>
  <c r="AU16" i="31"/>
  <c r="AO14" i="31"/>
  <c r="AU14" i="31"/>
  <c r="AL14" i="31"/>
  <c r="W12" i="31"/>
  <c r="AU12" i="31"/>
  <c r="AL12" i="31"/>
  <c r="AO10" i="31"/>
  <c r="AL10" i="31"/>
  <c r="AU10" i="31"/>
  <c r="BH8" i="31"/>
  <c r="AU8" i="31"/>
  <c r="AL8" i="31"/>
  <c r="AU6" i="31"/>
  <c r="AL6" i="31"/>
  <c r="AL4" i="31"/>
  <c r="BH24" i="31"/>
  <c r="AX17" i="31"/>
  <c r="BH5" i="31"/>
  <c r="Y20" i="31"/>
  <c r="W5" i="31"/>
  <c r="AX19" i="31"/>
  <c r="BH20" i="31"/>
  <c r="BH25" i="31"/>
  <c r="BH19" i="31"/>
  <c r="BH18" i="31"/>
  <c r="BH22" i="31"/>
  <c r="W18" i="31"/>
  <c r="BH11" i="31"/>
  <c r="AJ12" i="31"/>
  <c r="BH26" i="31"/>
  <c r="Y14" i="31"/>
  <c r="AJ25" i="31"/>
  <c r="W14" i="31"/>
  <c r="W13" i="31"/>
  <c r="BG8" i="31"/>
  <c r="AJ14" i="31"/>
  <c r="W20" i="31"/>
  <c r="Y18" i="31"/>
  <c r="BH14" i="31"/>
  <c r="AX26" i="31"/>
  <c r="BH16" i="31"/>
  <c r="W22" i="31"/>
  <c r="W21" i="31"/>
  <c r="AJ17" i="31"/>
  <c r="BG16" i="31"/>
  <c r="W16" i="31"/>
  <c r="W15" i="31"/>
  <c r="AJ8" i="31"/>
  <c r="AJ4" i="31"/>
  <c r="AX16" i="31"/>
  <c r="AO22" i="31"/>
  <c r="AO16" i="31"/>
  <c r="BH21" i="31"/>
  <c r="AJ20" i="31"/>
  <c r="BH13" i="31"/>
  <c r="W26" i="31"/>
  <c r="W17" i="31"/>
  <c r="W8" i="31"/>
  <c r="Y4" i="31"/>
  <c r="BH15" i="31"/>
  <c r="Y25" i="31"/>
  <c r="BH12" i="31"/>
  <c r="Y12" i="31"/>
  <c r="BH4" i="31"/>
  <c r="W4" i="31"/>
  <c r="AJ24" i="31"/>
  <c r="AJ22" i="31"/>
  <c r="AJ16" i="31"/>
  <c r="W25" i="31"/>
  <c r="AJ18" i="31"/>
  <c r="BH17" i="31"/>
  <c r="AJ13" i="31"/>
  <c r="BG12" i="31"/>
  <c r="W11" i="31"/>
  <c r="AJ5" i="31"/>
  <c r="BG4" i="31"/>
  <c r="W24" i="31"/>
  <c r="Y22" i="31"/>
  <c r="Y10" i="31"/>
  <c r="W9" i="31"/>
  <c r="AJ9" i="31"/>
  <c r="BH9" i="31"/>
  <c r="BH7" i="31"/>
  <c r="W7" i="31"/>
  <c r="BH6" i="31"/>
  <c r="AJ6" i="31"/>
  <c r="W6" i="31"/>
  <c r="AX24" i="31"/>
  <c r="BH10" i="31"/>
  <c r="AJ10" i="31"/>
  <c r="W10" i="31"/>
  <c r="BG24" i="31"/>
  <c r="BG25" i="31"/>
  <c r="AX25" i="31"/>
  <c r="AO24" i="31"/>
  <c r="BG20" i="31"/>
  <c r="AX20" i="31"/>
  <c r="BG18" i="31"/>
  <c r="AX18" i="31"/>
  <c r="BG14" i="31"/>
  <c r="AX14" i="31"/>
  <c r="BG10" i="31"/>
  <c r="AX10" i="31"/>
  <c r="BG6" i="31"/>
  <c r="AJ26" i="31"/>
  <c r="BG22" i="31"/>
  <c r="Y26" i="31"/>
  <c r="W23" i="31"/>
  <c r="AX21" i="31"/>
  <c r="BG15" i="31"/>
  <c r="Y11" i="31"/>
  <c r="BG11" i="31"/>
  <c r="Y7" i="31"/>
  <c r="BG7" i="31"/>
  <c r="Y23" i="31"/>
  <c r="AO23" i="31"/>
  <c r="BG23" i="31"/>
  <c r="AX23" i="31"/>
  <c r="AJ23" i="31"/>
  <c r="Y19" i="31"/>
  <c r="AO19" i="31"/>
  <c r="BG19" i="31"/>
  <c r="BG26" i="31"/>
  <c r="AO21" i="31"/>
  <c r="BG21" i="31"/>
  <c r="Y21" i="31"/>
  <c r="W19" i="31"/>
  <c r="Y17" i="31"/>
  <c r="Y13" i="31"/>
  <c r="Y9" i="31"/>
  <c r="Y5" i="31"/>
  <c r="BG17" i="31"/>
  <c r="BG13" i="31"/>
  <c r="BG9" i="31"/>
  <c r="BG5" i="31"/>
  <c r="W2" i="31"/>
  <c r="AJ2" i="31"/>
  <c r="BN26" i="31" l="1"/>
  <c r="BO26" i="31"/>
  <c r="AP32" i="13"/>
  <c r="BQ26" i="31" s="1"/>
  <c r="B32" i="29"/>
  <c r="C32" i="29" s="1"/>
  <c r="D32" i="29" s="1"/>
  <c r="E32" i="29"/>
  <c r="F32" i="29" s="1"/>
  <c r="G32" i="29" s="1"/>
  <c r="H32" i="29"/>
  <c r="I32" i="29" s="1"/>
  <c r="J32" i="29" s="1"/>
  <c r="K32" i="29"/>
  <c r="L32" i="29"/>
  <c r="M32" i="29"/>
  <c r="N32" i="29"/>
  <c r="O32" i="29" s="1"/>
  <c r="P32" i="29" s="1"/>
  <c r="Q32" i="29"/>
  <c r="R32" i="29" s="1"/>
  <c r="S32" i="29" s="1"/>
  <c r="T32" i="29"/>
  <c r="U32" i="29"/>
  <c r="V32" i="29" s="1"/>
  <c r="W32" i="29"/>
  <c r="X32" i="29"/>
  <c r="Y32" i="29"/>
  <c r="Z32" i="29"/>
  <c r="AA32" i="29" s="1"/>
  <c r="AB32" i="29" s="1"/>
  <c r="AC32" i="29"/>
  <c r="AD32" i="29" s="1"/>
  <c r="AE32" i="29" s="1"/>
  <c r="AF32" i="29"/>
  <c r="AG32" i="29" s="1"/>
  <c r="AH32" i="29" s="1"/>
  <c r="AI32" i="29"/>
  <c r="AJ32" i="29" s="1"/>
  <c r="AK32" i="29" s="1"/>
  <c r="AL32" i="29"/>
  <c r="AM32" i="29" s="1"/>
  <c r="AN32" i="29" s="1"/>
  <c r="AO32" i="29"/>
  <c r="AP32" i="29" s="1"/>
  <c r="AQ32" i="29" s="1"/>
  <c r="AR32" i="29"/>
  <c r="AS32" i="29"/>
  <c r="AT32" i="29" s="1"/>
  <c r="AU32" i="29"/>
  <c r="AV32" i="29" s="1"/>
  <c r="AW32" i="29" s="1"/>
  <c r="AX32" i="29"/>
  <c r="AY32" i="29" s="1"/>
  <c r="AZ32" i="29" s="1"/>
  <c r="BA32" i="29"/>
  <c r="BB32" i="29" s="1"/>
  <c r="BC32" i="29" s="1"/>
  <c r="BD32" i="29"/>
  <c r="BE32" i="29"/>
  <c r="BF32" i="29" s="1"/>
  <c r="BG32" i="29"/>
  <c r="BH32" i="29"/>
  <c r="BI32" i="29" s="1"/>
  <c r="BJ32" i="29"/>
  <c r="BK32" i="29" s="1"/>
  <c r="BL32" i="29" s="1"/>
  <c r="BM32" i="29"/>
  <c r="BN32" i="29" s="1"/>
  <c r="BO32" i="29" s="1"/>
  <c r="BP32" i="29"/>
  <c r="BQ32" i="29" s="1"/>
  <c r="BR32" i="29" s="1"/>
  <c r="BS32" i="29"/>
  <c r="BT32" i="29" s="1"/>
  <c r="BU32" i="29" s="1"/>
  <c r="B33" i="29"/>
  <c r="C33" i="29" s="1"/>
  <c r="D33" i="29" s="1"/>
  <c r="E33" i="29"/>
  <c r="F33" i="29" s="1"/>
  <c r="G33" i="29" s="1"/>
  <c r="H33" i="29"/>
  <c r="I33" i="29"/>
  <c r="J33" i="29" s="1"/>
  <c r="K33" i="29"/>
  <c r="L33" i="29"/>
  <c r="M33" i="29"/>
  <c r="N33" i="29"/>
  <c r="O33" i="29" s="1"/>
  <c r="P33" i="29" s="1"/>
  <c r="Q33" i="29"/>
  <c r="R33" i="29" s="1"/>
  <c r="S33" i="29" s="1"/>
  <c r="T33" i="29"/>
  <c r="U33" i="29"/>
  <c r="V33" i="29" s="1"/>
  <c r="W33" i="29"/>
  <c r="X33" i="29"/>
  <c r="Y33" i="29"/>
  <c r="Z33" i="29"/>
  <c r="AA33" i="29" s="1"/>
  <c r="AB33" i="29" s="1"/>
  <c r="AC33" i="29"/>
  <c r="AD33" i="29" s="1"/>
  <c r="AE33" i="29" s="1"/>
  <c r="AF33" i="29"/>
  <c r="AG33" i="29" s="1"/>
  <c r="AH33" i="29" s="1"/>
  <c r="AI33" i="29"/>
  <c r="AJ33" i="29"/>
  <c r="AK33" i="29" s="1"/>
  <c r="AL33" i="29"/>
  <c r="AM33" i="29" s="1"/>
  <c r="AN33" i="29" s="1"/>
  <c r="AO33" i="29"/>
  <c r="AP33" i="29" s="1"/>
  <c r="AQ33" i="29" s="1"/>
  <c r="AR33" i="29"/>
  <c r="AS33" i="29"/>
  <c r="AT33" i="29" s="1"/>
  <c r="AU33" i="29"/>
  <c r="AV33" i="29"/>
  <c r="AW33" i="29"/>
  <c r="AX33" i="29"/>
  <c r="AY33" i="29" s="1"/>
  <c r="AZ33" i="29" s="1"/>
  <c r="BA33" i="29"/>
  <c r="BB33" i="29" s="1"/>
  <c r="BC33" i="29" s="1"/>
  <c r="BD33" i="29"/>
  <c r="BE33" i="29" s="1"/>
  <c r="BF33" i="29" s="1"/>
  <c r="BG33" i="29"/>
  <c r="BH33" i="29"/>
  <c r="BI33" i="29"/>
  <c r="BJ33" i="29"/>
  <c r="BK33" i="29" s="1"/>
  <c r="BL33" i="29" s="1"/>
  <c r="BM33" i="29"/>
  <c r="BN33" i="29" s="1"/>
  <c r="BO33" i="29" s="1"/>
  <c r="BP33" i="29"/>
  <c r="BQ33" i="29"/>
  <c r="BR33" i="29" s="1"/>
  <c r="BS33" i="29"/>
  <c r="BT33" i="29" s="1"/>
  <c r="BU33" i="29" s="1"/>
  <c r="B34" i="29"/>
  <c r="C34" i="29" s="1"/>
  <c r="D34" i="29" s="1"/>
  <c r="E34" i="29"/>
  <c r="F34" i="29" s="1"/>
  <c r="G34" i="29" s="1"/>
  <c r="H34" i="29"/>
  <c r="I34" i="29"/>
  <c r="J34" i="29" s="1"/>
  <c r="K34" i="29"/>
  <c r="L34" i="29"/>
  <c r="M34" i="29"/>
  <c r="N34" i="29"/>
  <c r="O34" i="29" s="1"/>
  <c r="P34" i="29" s="1"/>
  <c r="Q34" i="29"/>
  <c r="R34" i="29" s="1"/>
  <c r="S34" i="29" s="1"/>
  <c r="T34" i="29"/>
  <c r="U34" i="29"/>
  <c r="V34" i="29" s="1"/>
  <c r="W34" i="29"/>
  <c r="X34" i="29"/>
  <c r="Y34" i="29"/>
  <c r="Z34" i="29"/>
  <c r="AA34" i="29" s="1"/>
  <c r="AB34" i="29" s="1"/>
  <c r="AC34" i="29"/>
  <c r="AD34" i="29" s="1"/>
  <c r="AE34" i="29" s="1"/>
  <c r="AF34" i="29"/>
  <c r="AG34" i="29" s="1"/>
  <c r="AH34" i="29" s="1"/>
  <c r="AI34" i="29"/>
  <c r="AJ34" i="29" s="1"/>
  <c r="AK34" i="29" s="1"/>
  <c r="AL34" i="29"/>
  <c r="AM34" i="29" s="1"/>
  <c r="AN34" i="29" s="1"/>
  <c r="AO34" i="29"/>
  <c r="AP34" i="29" s="1"/>
  <c r="AQ34" i="29" s="1"/>
  <c r="AR34" i="29"/>
  <c r="AS34" i="29"/>
  <c r="AT34" i="29" s="1"/>
  <c r="AU34" i="29"/>
  <c r="AV34" i="29"/>
  <c r="AW34" i="29"/>
  <c r="AX34" i="29"/>
  <c r="AY34" i="29" s="1"/>
  <c r="AZ34" i="29" s="1"/>
  <c r="BA34" i="29"/>
  <c r="BB34" i="29" s="1"/>
  <c r="BC34" i="29" s="1"/>
  <c r="BD34" i="29"/>
  <c r="BE34" i="29" s="1"/>
  <c r="BF34" i="29" s="1"/>
  <c r="BG34" i="29"/>
  <c r="BH34" i="29"/>
  <c r="BI34" i="29"/>
  <c r="BJ34" i="29"/>
  <c r="BK34" i="29" s="1"/>
  <c r="BL34" i="29" s="1"/>
  <c r="BM34" i="29"/>
  <c r="BN34" i="29" s="1"/>
  <c r="BO34" i="29" s="1"/>
  <c r="BP34" i="29"/>
  <c r="BQ34" i="29"/>
  <c r="BR34" i="29" s="1"/>
  <c r="BS34" i="29"/>
  <c r="BT34" i="29"/>
  <c r="BU34" i="29" s="1"/>
  <c r="B33" i="20"/>
  <c r="D33" i="20" s="1"/>
  <c r="C33" i="20"/>
  <c r="E33" i="20"/>
  <c r="F33" i="20"/>
  <c r="H33" i="20" s="1"/>
  <c r="G33" i="20"/>
  <c r="I33" i="20"/>
  <c r="J33" i="20"/>
  <c r="L33" i="20" s="1"/>
  <c r="K33" i="20"/>
  <c r="M33" i="20"/>
  <c r="N33" i="20"/>
  <c r="P33" i="20" s="1"/>
  <c r="O33" i="20"/>
  <c r="Q33" i="20"/>
  <c r="R33" i="20"/>
  <c r="T33" i="20" s="1"/>
  <c r="S33" i="20"/>
  <c r="U33" i="20"/>
  <c r="V33" i="20"/>
  <c r="X33" i="20" s="1"/>
  <c r="W33" i="20"/>
  <c r="Y33" i="20"/>
  <c r="Z33" i="20"/>
  <c r="AB33" i="20" s="1"/>
  <c r="AA33" i="20"/>
  <c r="AC33" i="20"/>
  <c r="AD33" i="20"/>
  <c r="AF33" i="20" s="1"/>
  <c r="AE33" i="20"/>
  <c r="AG33" i="20"/>
  <c r="AH33" i="20"/>
  <c r="AJ33" i="20" s="1"/>
  <c r="AI33" i="20"/>
  <c r="AK33" i="20"/>
  <c r="AL33" i="20"/>
  <c r="AN33" i="20" s="1"/>
  <c r="AM33" i="20"/>
  <c r="AO33" i="20"/>
  <c r="AP33" i="20"/>
  <c r="AR33" i="20" s="1"/>
  <c r="AQ33" i="20"/>
  <c r="AS33" i="20"/>
  <c r="AT33" i="20"/>
  <c r="AV33" i="20" s="1"/>
  <c r="AU33" i="20"/>
  <c r="AW33" i="20"/>
  <c r="AX33" i="20"/>
  <c r="AZ33" i="20" s="1"/>
  <c r="AY33" i="20"/>
  <c r="BA33" i="20"/>
  <c r="BB33" i="20"/>
  <c r="BD33" i="20" s="1"/>
  <c r="BC33" i="20"/>
  <c r="BE33" i="20"/>
  <c r="BF33" i="20"/>
  <c r="BH33" i="20" s="1"/>
  <c r="BG33" i="20"/>
  <c r="BI33" i="20"/>
  <c r="BJ33" i="20"/>
  <c r="BL33" i="20" s="1"/>
  <c r="BK33" i="20"/>
  <c r="BM33" i="20"/>
  <c r="BN33" i="20"/>
  <c r="BP33" i="20" s="1"/>
  <c r="BO33" i="20"/>
  <c r="BQ33" i="20"/>
  <c r="BR33" i="20"/>
  <c r="BT33" i="20" s="1"/>
  <c r="BS33" i="20"/>
  <c r="BU33" i="20"/>
  <c r="BV33" i="20"/>
  <c r="BX33" i="20" s="1"/>
  <c r="BW33" i="20"/>
  <c r="BY33" i="20"/>
  <c r="BZ33" i="20"/>
  <c r="CB33" i="20" s="1"/>
  <c r="CA33" i="20"/>
  <c r="CC33" i="20"/>
  <c r="CE33" i="20"/>
  <c r="CF33" i="20" s="1"/>
  <c r="CI33" i="20" s="1"/>
  <c r="CG33" i="20"/>
  <c r="CH33" i="20"/>
  <c r="CJ33" i="20"/>
  <c r="CK33" i="20"/>
  <c r="CL33" i="20"/>
  <c r="CO33" i="20" s="1"/>
  <c r="CM33" i="20"/>
  <c r="CN33" i="20"/>
  <c r="CP33" i="20"/>
  <c r="CQ33" i="20"/>
  <c r="CR33" i="20" s="1"/>
  <c r="CU33" i="20" s="1"/>
  <c r="CS33" i="20"/>
  <c r="CT33" i="20"/>
  <c r="CV33" i="20"/>
  <c r="CW33" i="20"/>
  <c r="CX33" i="20"/>
  <c r="DA33" i="20" s="1"/>
  <c r="CY33" i="20"/>
  <c r="CZ33" i="20"/>
  <c r="DB33" i="20"/>
  <c r="DC33" i="20"/>
  <c r="DD33" i="20" s="1"/>
  <c r="DG33" i="20" s="1"/>
  <c r="DE33" i="20"/>
  <c r="DF33" i="20"/>
  <c r="DH33" i="20"/>
  <c r="DI33" i="20"/>
  <c r="DJ33" i="20"/>
  <c r="DM33" i="20" s="1"/>
  <c r="DK33" i="20"/>
  <c r="DL33" i="20"/>
  <c r="DN33" i="20"/>
  <c r="DO33" i="20"/>
  <c r="DP33" i="20" s="1"/>
  <c r="DS33" i="20" s="1"/>
  <c r="DQ33" i="20"/>
  <c r="DR33" i="20"/>
  <c r="DT33" i="20"/>
  <c r="DU33" i="20"/>
  <c r="DV33" i="20"/>
  <c r="DY33" i="20" s="1"/>
  <c r="DW33" i="20"/>
  <c r="DX33" i="20"/>
  <c r="DZ33" i="20"/>
  <c r="EA33" i="20"/>
  <c r="EB33" i="20" s="1"/>
  <c r="EE33" i="20" s="1"/>
  <c r="EC33" i="20"/>
  <c r="ED33" i="20"/>
  <c r="EF33" i="20"/>
  <c r="EG33" i="20"/>
  <c r="EH33" i="20"/>
  <c r="EK33" i="20" s="1"/>
  <c r="EI33" i="20"/>
  <c r="EJ33" i="20"/>
  <c r="EL33" i="20"/>
  <c r="EM33" i="20"/>
  <c r="EN33" i="20" s="1"/>
  <c r="EQ33" i="20" s="1"/>
  <c r="EO33" i="20"/>
  <c r="EP33" i="20"/>
  <c r="ER33" i="20"/>
  <c r="ES33" i="20"/>
  <c r="ET33" i="20"/>
  <c r="EW33" i="20" s="1"/>
  <c r="EU33" i="20"/>
  <c r="EV33" i="20"/>
  <c r="EX33" i="20"/>
  <c r="EY33" i="20"/>
  <c r="EZ33" i="20" s="1"/>
  <c r="FC33" i="20" s="1"/>
  <c r="FA33" i="20"/>
  <c r="FB33" i="20"/>
  <c r="FD33" i="20"/>
  <c r="B34" i="20"/>
  <c r="C34" i="20"/>
  <c r="E34" i="20" s="1"/>
  <c r="D34" i="20"/>
  <c r="F34" i="20"/>
  <c r="G34" i="20"/>
  <c r="I34" i="20" s="1"/>
  <c r="H34" i="20"/>
  <c r="J34" i="20"/>
  <c r="K34" i="20"/>
  <c r="M34" i="20" s="1"/>
  <c r="L34" i="20"/>
  <c r="N34" i="20"/>
  <c r="O34" i="20"/>
  <c r="Q34" i="20" s="1"/>
  <c r="P34" i="20"/>
  <c r="R34" i="20"/>
  <c r="S34" i="20"/>
  <c r="U34" i="20" s="1"/>
  <c r="T34" i="20"/>
  <c r="V34" i="20"/>
  <c r="W34" i="20"/>
  <c r="Y34" i="20" s="1"/>
  <c r="X34" i="20"/>
  <c r="Z34" i="20"/>
  <c r="AA34" i="20"/>
  <c r="AC34" i="20" s="1"/>
  <c r="AB34" i="20"/>
  <c r="AD34" i="20"/>
  <c r="AE34" i="20"/>
  <c r="AG34" i="20" s="1"/>
  <c r="AF34" i="20"/>
  <c r="AH34" i="20"/>
  <c r="AI34" i="20"/>
  <c r="AK34" i="20" s="1"/>
  <c r="AJ34" i="20"/>
  <c r="AL34" i="20"/>
  <c r="AM34" i="20"/>
  <c r="AO34" i="20" s="1"/>
  <c r="AN34" i="20"/>
  <c r="AP34" i="20"/>
  <c r="AQ34" i="20"/>
  <c r="AS34" i="20" s="1"/>
  <c r="AR34" i="20"/>
  <c r="AT34" i="20"/>
  <c r="AU34" i="20"/>
  <c r="AW34" i="20" s="1"/>
  <c r="AV34" i="20"/>
  <c r="AX34" i="20"/>
  <c r="AY34" i="20"/>
  <c r="BA34" i="20" s="1"/>
  <c r="AZ34" i="20"/>
  <c r="BB34" i="20"/>
  <c r="BC34" i="20"/>
  <c r="BE34" i="20" s="1"/>
  <c r="BD34" i="20"/>
  <c r="BF34" i="20"/>
  <c r="BG34" i="20"/>
  <c r="BI34" i="20" s="1"/>
  <c r="BH34" i="20"/>
  <c r="BJ34" i="20"/>
  <c r="BK34" i="20"/>
  <c r="BM34" i="20" s="1"/>
  <c r="BL34" i="20"/>
  <c r="BN34" i="20"/>
  <c r="BO34" i="20"/>
  <c r="BQ34" i="20" s="1"/>
  <c r="BP34" i="20"/>
  <c r="BR34" i="20"/>
  <c r="BS34" i="20"/>
  <c r="BU34" i="20" s="1"/>
  <c r="BT34" i="20"/>
  <c r="BV34" i="20"/>
  <c r="BW34" i="20"/>
  <c r="BY34" i="20" s="1"/>
  <c r="BX34" i="20"/>
  <c r="BZ34" i="20"/>
  <c r="CA34" i="20"/>
  <c r="CC34" i="20" s="1"/>
  <c r="CB34" i="20"/>
  <c r="CE34" i="20"/>
  <c r="CF34" i="20"/>
  <c r="CI34" i="20" s="1"/>
  <c r="CG34" i="20"/>
  <c r="CH34" i="20"/>
  <c r="CJ34" i="20"/>
  <c r="CK34" i="20"/>
  <c r="CL34" i="20" s="1"/>
  <c r="CO34" i="20" s="1"/>
  <c r="CM34" i="20"/>
  <c r="CN34" i="20"/>
  <c r="CP34" i="20"/>
  <c r="CQ34" i="20"/>
  <c r="CR34" i="20"/>
  <c r="CU34" i="20" s="1"/>
  <c r="CS34" i="20"/>
  <c r="CT34" i="20"/>
  <c r="CV34" i="20"/>
  <c r="CW34" i="20"/>
  <c r="CX34" i="20" s="1"/>
  <c r="DA34" i="20" s="1"/>
  <c r="CY34" i="20"/>
  <c r="CZ34" i="20"/>
  <c r="DB34" i="20"/>
  <c r="DC34" i="20"/>
  <c r="DD34" i="20"/>
  <c r="DG34" i="20" s="1"/>
  <c r="DE34" i="20"/>
  <c r="DF34" i="20"/>
  <c r="DH34" i="20"/>
  <c r="DI34" i="20"/>
  <c r="DJ34" i="20"/>
  <c r="DM34" i="20" s="1"/>
  <c r="DK34" i="20"/>
  <c r="DL34" i="20"/>
  <c r="DN34" i="20"/>
  <c r="DO34" i="20"/>
  <c r="DP34" i="20"/>
  <c r="DS34" i="20" s="1"/>
  <c r="DQ34" i="20"/>
  <c r="DR34" i="20"/>
  <c r="DT34" i="20"/>
  <c r="DU34" i="20"/>
  <c r="DV34" i="20"/>
  <c r="DY34" i="20" s="1"/>
  <c r="DW34" i="20"/>
  <c r="DX34" i="20"/>
  <c r="DZ34" i="20"/>
  <c r="EA34" i="20"/>
  <c r="EB34" i="20"/>
  <c r="EE34" i="20" s="1"/>
  <c r="EC34" i="20"/>
  <c r="ED34" i="20"/>
  <c r="EF34" i="20"/>
  <c r="EG34" i="20"/>
  <c r="EH34" i="20"/>
  <c r="EK34" i="20" s="1"/>
  <c r="EI34" i="20"/>
  <c r="EJ34" i="20"/>
  <c r="EL34" i="20"/>
  <c r="EM34" i="20"/>
  <c r="EN34" i="20"/>
  <c r="EQ34" i="20" s="1"/>
  <c r="EO34" i="20"/>
  <c r="EP34" i="20"/>
  <c r="ER34" i="20"/>
  <c r="ES34" i="20"/>
  <c r="ET34" i="20"/>
  <c r="EW34" i="20" s="1"/>
  <c r="EU34" i="20"/>
  <c r="EV34" i="20"/>
  <c r="EX34" i="20"/>
  <c r="EY34" i="20"/>
  <c r="EZ34" i="20"/>
  <c r="FC34" i="20" s="1"/>
  <c r="FA34" i="20"/>
  <c r="FB34" i="20"/>
  <c r="FD34" i="20"/>
  <c r="B35" i="20"/>
  <c r="D35" i="20" s="1"/>
  <c r="C35" i="20"/>
  <c r="E35" i="20"/>
  <c r="F35" i="20"/>
  <c r="H35" i="20" s="1"/>
  <c r="G35" i="20"/>
  <c r="I35" i="20"/>
  <c r="J35" i="20"/>
  <c r="L35" i="20" s="1"/>
  <c r="K35" i="20"/>
  <c r="M35" i="20"/>
  <c r="N35" i="20"/>
  <c r="P35" i="20" s="1"/>
  <c r="O35" i="20"/>
  <c r="Q35" i="20"/>
  <c r="R35" i="20"/>
  <c r="T35" i="20" s="1"/>
  <c r="S35" i="20"/>
  <c r="U35" i="20"/>
  <c r="V35" i="20"/>
  <c r="X35" i="20" s="1"/>
  <c r="W35" i="20"/>
  <c r="Y35" i="20"/>
  <c r="Z35" i="20"/>
  <c r="AB35" i="20" s="1"/>
  <c r="AA35" i="20"/>
  <c r="AC35" i="20"/>
  <c r="AD35" i="20"/>
  <c r="AF35" i="20" s="1"/>
  <c r="AE35" i="20"/>
  <c r="AG35" i="20"/>
  <c r="AH35" i="20"/>
  <c r="AJ35" i="20" s="1"/>
  <c r="AI35" i="20"/>
  <c r="AK35" i="20"/>
  <c r="AL35" i="20"/>
  <c r="AN35" i="20" s="1"/>
  <c r="AM35" i="20"/>
  <c r="AO35" i="20"/>
  <c r="AP35" i="20"/>
  <c r="AR35" i="20" s="1"/>
  <c r="AQ35" i="20"/>
  <c r="AS35" i="20"/>
  <c r="AT35" i="20"/>
  <c r="AV35" i="20" s="1"/>
  <c r="AU35" i="20"/>
  <c r="AW35" i="20"/>
  <c r="AX35" i="20"/>
  <c r="AZ35" i="20" s="1"/>
  <c r="AY35" i="20"/>
  <c r="BA35" i="20"/>
  <c r="BB35" i="20"/>
  <c r="BD35" i="20" s="1"/>
  <c r="BC35" i="20"/>
  <c r="BE35" i="20"/>
  <c r="BF35" i="20"/>
  <c r="BH35" i="20" s="1"/>
  <c r="BG35" i="20"/>
  <c r="BI35" i="20"/>
  <c r="BJ35" i="20"/>
  <c r="BL35" i="20" s="1"/>
  <c r="BK35" i="20"/>
  <c r="BM35" i="20"/>
  <c r="BN35" i="20"/>
  <c r="BP35" i="20" s="1"/>
  <c r="BO35" i="20"/>
  <c r="BQ35" i="20"/>
  <c r="BR35" i="20"/>
  <c r="BT35" i="20" s="1"/>
  <c r="BS35" i="20"/>
  <c r="BU35" i="20"/>
  <c r="BV35" i="20"/>
  <c r="BX35" i="20" s="1"/>
  <c r="BW35" i="20"/>
  <c r="BY35" i="20"/>
  <c r="BZ35" i="20"/>
  <c r="CB35" i="20" s="1"/>
  <c r="CA35" i="20"/>
  <c r="CC35" i="20"/>
  <c r="CE35" i="20"/>
  <c r="CF35" i="20"/>
  <c r="CI35" i="20" s="1"/>
  <c r="CG35" i="20"/>
  <c r="CH35" i="20"/>
  <c r="CJ35" i="20"/>
  <c r="CK35" i="20"/>
  <c r="CL35" i="20"/>
  <c r="CO35" i="20" s="1"/>
  <c r="CM35" i="20"/>
  <c r="CN35" i="20"/>
  <c r="CP35" i="20"/>
  <c r="CQ35" i="20"/>
  <c r="CR35" i="20"/>
  <c r="CU35" i="20" s="1"/>
  <c r="CS35" i="20"/>
  <c r="CT35" i="20"/>
  <c r="CV35" i="20"/>
  <c r="CW35" i="20"/>
  <c r="CX35" i="20"/>
  <c r="DA35" i="20" s="1"/>
  <c r="CY35" i="20"/>
  <c r="CZ35" i="20"/>
  <c r="DB35" i="20"/>
  <c r="DC35" i="20"/>
  <c r="DD35" i="20"/>
  <c r="DG35" i="20" s="1"/>
  <c r="DE35" i="20"/>
  <c r="DF35" i="20"/>
  <c r="DH35" i="20"/>
  <c r="DI35" i="20"/>
  <c r="DJ35" i="20"/>
  <c r="DM35" i="20" s="1"/>
  <c r="DK35" i="20"/>
  <c r="DL35" i="20"/>
  <c r="DN35" i="20"/>
  <c r="DO35" i="20"/>
  <c r="DP35" i="20"/>
  <c r="DS35" i="20" s="1"/>
  <c r="DQ35" i="20"/>
  <c r="DR35" i="20"/>
  <c r="DT35" i="20"/>
  <c r="DU35" i="20"/>
  <c r="DV35" i="20"/>
  <c r="DY35" i="20" s="1"/>
  <c r="DW35" i="20"/>
  <c r="DX35" i="20"/>
  <c r="DZ35" i="20"/>
  <c r="EA35" i="20"/>
  <c r="EB35" i="20"/>
  <c r="EE35" i="20" s="1"/>
  <c r="EC35" i="20"/>
  <c r="ED35" i="20"/>
  <c r="EF35" i="20"/>
  <c r="EG35" i="20"/>
  <c r="EH35" i="20"/>
  <c r="EK35" i="20" s="1"/>
  <c r="EI35" i="20"/>
  <c r="EJ35" i="20"/>
  <c r="EL35" i="20"/>
  <c r="EM35" i="20"/>
  <c r="EN35" i="20"/>
  <c r="EQ35" i="20" s="1"/>
  <c r="EO35" i="20"/>
  <c r="EP35" i="20"/>
  <c r="ER35" i="20"/>
  <c r="ES35" i="20"/>
  <c r="ET35" i="20"/>
  <c r="EW35" i="20" s="1"/>
  <c r="EU35" i="20"/>
  <c r="EV35" i="20"/>
  <c r="EX35" i="20"/>
  <c r="EY35" i="20"/>
  <c r="EZ35" i="20"/>
  <c r="FC35" i="20" s="1"/>
  <c r="FA35" i="20"/>
  <c r="FB35" i="20"/>
  <c r="FD35" i="20"/>
  <c r="AF34" i="11"/>
  <c r="AG34" i="11"/>
  <c r="AB34" i="11"/>
  <c r="AC34" i="11"/>
  <c r="X34" i="11"/>
  <c r="Y34" i="11"/>
  <c r="T34" i="11"/>
  <c r="U34" i="11"/>
  <c r="P34" i="11"/>
  <c r="Q34" i="11"/>
  <c r="L34" i="11"/>
  <c r="M34" i="11"/>
  <c r="H34" i="11"/>
  <c r="I34" i="11"/>
  <c r="D34" i="11"/>
  <c r="E34" i="11"/>
  <c r="BF8" i="24"/>
  <c r="BG8" i="24"/>
  <c r="BH8" i="24"/>
  <c r="BF9" i="24"/>
  <c r="BG9" i="24"/>
  <c r="BH9" i="24"/>
  <c r="BF10" i="24"/>
  <c r="BG10" i="24"/>
  <c r="BH10" i="24"/>
  <c r="BF11" i="24"/>
  <c r="BG11" i="24"/>
  <c r="BH11" i="24"/>
  <c r="BF12" i="24"/>
  <c r="BG12" i="24"/>
  <c r="BH12" i="24"/>
  <c r="BF13" i="24"/>
  <c r="BG13" i="24"/>
  <c r="BH13" i="24"/>
  <c r="BF14" i="24"/>
  <c r="BG14" i="24"/>
  <c r="BH14" i="24"/>
  <c r="BF15" i="24"/>
  <c r="BG15" i="24"/>
  <c r="BH15" i="24"/>
  <c r="BF16" i="24"/>
  <c r="BG16" i="24"/>
  <c r="BH16" i="24"/>
  <c r="BF17" i="24"/>
  <c r="BG17" i="24"/>
  <c r="BH17" i="24"/>
  <c r="BF18" i="24"/>
  <c r="BG18" i="24"/>
  <c r="BH18" i="24"/>
  <c r="BF19" i="24"/>
  <c r="BG19" i="24"/>
  <c r="BH19" i="24"/>
  <c r="BF20" i="24"/>
  <c r="BG20" i="24"/>
  <c r="BH20" i="24"/>
  <c r="BF21" i="24"/>
  <c r="BG21" i="24"/>
  <c r="BH21" i="24"/>
  <c r="BF22" i="24"/>
  <c r="BG22" i="24"/>
  <c r="BH22" i="24"/>
  <c r="BF23" i="24"/>
  <c r="BG23" i="24"/>
  <c r="BH23" i="24"/>
  <c r="BF24" i="24"/>
  <c r="BG24" i="24"/>
  <c r="BH24" i="24"/>
  <c r="BF25" i="24"/>
  <c r="BG25" i="24"/>
  <c r="BH25" i="24"/>
  <c r="BF26" i="24"/>
  <c r="BG26" i="24"/>
  <c r="BH26" i="24"/>
  <c r="BF27" i="24"/>
  <c r="BG27" i="24"/>
  <c r="BH27" i="24"/>
  <c r="BF28" i="24"/>
  <c r="BG28" i="24"/>
  <c r="BH28" i="24"/>
  <c r="BF29" i="24"/>
  <c r="BG29" i="24"/>
  <c r="BH29" i="24"/>
  <c r="BF30" i="24"/>
  <c r="BG30" i="24"/>
  <c r="BH30" i="24"/>
  <c r="BF31" i="24"/>
  <c r="BG31" i="24"/>
  <c r="BH31" i="24"/>
  <c r="BF32" i="24"/>
  <c r="BG32" i="24"/>
  <c r="BH32" i="24"/>
  <c r="BF33" i="24"/>
  <c r="BG33" i="24"/>
  <c r="BH33" i="24"/>
  <c r="BF34" i="24"/>
  <c r="BG34" i="24"/>
  <c r="BH34" i="24"/>
  <c r="BF35" i="24"/>
  <c r="BG35" i="24"/>
  <c r="BH35" i="24"/>
  <c r="BG7" i="24"/>
  <c r="BH7" i="24"/>
  <c r="BF7" i="24"/>
  <c r="AZ8" i="24"/>
  <c r="BA8" i="24"/>
  <c r="BB8" i="24"/>
  <c r="AZ9" i="24"/>
  <c r="BA9" i="24"/>
  <c r="BB9" i="24"/>
  <c r="AZ10" i="24"/>
  <c r="BA10" i="24"/>
  <c r="BB10" i="24"/>
  <c r="AZ11" i="24"/>
  <c r="BA11" i="24"/>
  <c r="BB11" i="24"/>
  <c r="AZ12" i="24"/>
  <c r="BA12" i="24"/>
  <c r="BB12" i="24"/>
  <c r="AZ13" i="24"/>
  <c r="BA13" i="24"/>
  <c r="BB13" i="24"/>
  <c r="AZ14" i="24"/>
  <c r="BA14" i="24"/>
  <c r="BB14" i="24"/>
  <c r="AZ15" i="24"/>
  <c r="BA15" i="24"/>
  <c r="BB15" i="24"/>
  <c r="AZ16" i="24"/>
  <c r="BA16" i="24"/>
  <c r="BB16" i="24"/>
  <c r="AZ17" i="24"/>
  <c r="BA17" i="24"/>
  <c r="BB17" i="24"/>
  <c r="AZ18" i="24"/>
  <c r="BA18" i="24"/>
  <c r="BB18" i="24"/>
  <c r="AZ19" i="24"/>
  <c r="BA19" i="24"/>
  <c r="BB19" i="24"/>
  <c r="AZ20" i="24"/>
  <c r="BA20" i="24"/>
  <c r="BB20" i="24"/>
  <c r="AZ21" i="24"/>
  <c r="BA21" i="24"/>
  <c r="BB21" i="24"/>
  <c r="AZ22" i="24"/>
  <c r="BA22" i="24"/>
  <c r="BB22" i="24"/>
  <c r="AZ23" i="24"/>
  <c r="BA23" i="24"/>
  <c r="BB23" i="24"/>
  <c r="AZ24" i="24"/>
  <c r="BA24" i="24"/>
  <c r="BB24" i="24"/>
  <c r="AZ25" i="24"/>
  <c r="BA25" i="24"/>
  <c r="BB25" i="24"/>
  <c r="AZ26" i="24"/>
  <c r="BA26" i="24"/>
  <c r="BB26" i="24"/>
  <c r="AZ27" i="24"/>
  <c r="BA27" i="24"/>
  <c r="BB27" i="24"/>
  <c r="AZ28" i="24"/>
  <c r="BA28" i="24"/>
  <c r="BB28" i="24"/>
  <c r="AZ29" i="24"/>
  <c r="BA29" i="24"/>
  <c r="BB29" i="24"/>
  <c r="AZ30" i="24"/>
  <c r="BA30" i="24"/>
  <c r="BB30" i="24"/>
  <c r="AZ31" i="24"/>
  <c r="BA31" i="24"/>
  <c r="BB31" i="24"/>
  <c r="AZ32" i="24"/>
  <c r="BA32" i="24"/>
  <c r="BB32" i="24"/>
  <c r="AZ33" i="24"/>
  <c r="BA33" i="24"/>
  <c r="BB33" i="24"/>
  <c r="AZ34" i="24"/>
  <c r="BA34" i="24"/>
  <c r="BB34" i="24"/>
  <c r="AZ35" i="24"/>
  <c r="BA35" i="24"/>
  <c r="BB35" i="24"/>
  <c r="BA7" i="24"/>
  <c r="BB7" i="24"/>
  <c r="AZ7" i="24"/>
  <c r="AT8" i="24"/>
  <c r="AU8" i="24"/>
  <c r="AV8" i="24"/>
  <c r="AT9" i="24"/>
  <c r="AU9" i="24"/>
  <c r="AV9" i="24"/>
  <c r="AT10" i="24"/>
  <c r="AU10" i="24"/>
  <c r="AV10" i="24"/>
  <c r="AT11" i="24"/>
  <c r="AU11" i="24"/>
  <c r="AV11" i="24"/>
  <c r="AT12" i="24"/>
  <c r="AU12" i="24"/>
  <c r="AV12" i="24"/>
  <c r="AT13" i="24"/>
  <c r="AU13" i="24"/>
  <c r="AV13" i="24"/>
  <c r="AT14" i="24"/>
  <c r="AU14" i="24"/>
  <c r="AV14" i="24"/>
  <c r="AT15" i="24"/>
  <c r="AU15" i="24"/>
  <c r="AV15" i="24"/>
  <c r="AT16" i="24"/>
  <c r="AU16" i="24"/>
  <c r="AV16" i="24"/>
  <c r="AT17" i="24"/>
  <c r="AU17" i="24"/>
  <c r="AV17" i="24"/>
  <c r="AT18" i="24"/>
  <c r="AU18" i="24"/>
  <c r="AV18" i="24"/>
  <c r="AT19" i="24"/>
  <c r="AU19" i="24"/>
  <c r="AV19" i="24"/>
  <c r="AT20" i="24"/>
  <c r="AU20" i="24"/>
  <c r="AV20" i="24"/>
  <c r="AT21" i="24"/>
  <c r="AU21" i="24"/>
  <c r="AV21" i="24"/>
  <c r="AT22" i="24"/>
  <c r="AU22" i="24"/>
  <c r="AV22" i="24"/>
  <c r="AT23" i="24"/>
  <c r="AU23" i="24"/>
  <c r="AV23" i="24"/>
  <c r="AT24" i="24"/>
  <c r="AU24" i="24"/>
  <c r="AV24" i="24"/>
  <c r="AT25" i="24"/>
  <c r="AU25" i="24"/>
  <c r="AV25" i="24"/>
  <c r="AT26" i="24"/>
  <c r="AU26" i="24"/>
  <c r="AV26" i="24"/>
  <c r="AT27" i="24"/>
  <c r="AU27" i="24"/>
  <c r="AV27" i="24"/>
  <c r="AT28" i="24"/>
  <c r="AU28" i="24"/>
  <c r="AV28" i="24"/>
  <c r="AT29" i="24"/>
  <c r="AU29" i="24"/>
  <c r="AV29" i="24"/>
  <c r="AT30" i="24"/>
  <c r="AU30" i="24"/>
  <c r="AV30" i="24"/>
  <c r="AT31" i="24"/>
  <c r="AU31" i="24"/>
  <c r="AV31" i="24"/>
  <c r="AT32" i="24"/>
  <c r="AU32" i="24"/>
  <c r="AV32" i="24"/>
  <c r="AT33" i="24"/>
  <c r="AU33" i="24"/>
  <c r="AV33" i="24"/>
  <c r="AT34" i="24"/>
  <c r="AU34" i="24"/>
  <c r="AV34" i="24"/>
  <c r="AT35" i="24"/>
  <c r="AU35" i="24"/>
  <c r="AV35" i="24"/>
  <c r="AU7" i="24"/>
  <c r="AV7" i="24"/>
  <c r="AT7" i="24"/>
  <c r="AN8" i="24"/>
  <c r="AO8" i="24"/>
  <c r="AP8" i="24"/>
  <c r="AN9" i="24"/>
  <c r="AO9" i="24"/>
  <c r="AP9" i="24"/>
  <c r="AN10" i="24"/>
  <c r="AO10" i="24"/>
  <c r="AP10" i="24"/>
  <c r="AN11" i="24"/>
  <c r="AO11" i="24"/>
  <c r="AP11" i="24"/>
  <c r="AN12" i="24"/>
  <c r="AO12" i="24"/>
  <c r="AP12" i="24"/>
  <c r="AN13" i="24"/>
  <c r="AO13" i="24"/>
  <c r="AP13" i="24"/>
  <c r="AN14" i="24"/>
  <c r="AO14" i="24"/>
  <c r="AP14" i="24"/>
  <c r="AN15" i="24"/>
  <c r="AO15" i="24"/>
  <c r="AP15" i="24"/>
  <c r="AN16" i="24"/>
  <c r="AO16" i="24"/>
  <c r="AP16" i="24"/>
  <c r="AN17" i="24"/>
  <c r="AO17" i="24"/>
  <c r="AP17" i="24"/>
  <c r="AN18" i="24"/>
  <c r="AO18" i="24"/>
  <c r="AP18" i="24"/>
  <c r="AN19" i="24"/>
  <c r="AO19" i="24"/>
  <c r="AP19" i="24"/>
  <c r="AN20" i="24"/>
  <c r="AO20" i="24"/>
  <c r="AP20" i="24"/>
  <c r="AN21" i="24"/>
  <c r="AO21" i="24"/>
  <c r="AP21" i="24"/>
  <c r="AN22" i="24"/>
  <c r="AO22" i="24"/>
  <c r="AP22" i="24"/>
  <c r="AN23" i="24"/>
  <c r="AO23" i="24"/>
  <c r="AP23" i="24"/>
  <c r="AN24" i="24"/>
  <c r="AO24" i="24"/>
  <c r="AP24" i="24"/>
  <c r="AN25" i="24"/>
  <c r="AO25" i="24"/>
  <c r="AP25" i="24"/>
  <c r="AN26" i="24"/>
  <c r="AO26" i="24"/>
  <c r="AP26" i="24"/>
  <c r="AN27" i="24"/>
  <c r="AO27" i="24"/>
  <c r="AP27" i="24"/>
  <c r="AN28" i="24"/>
  <c r="AO28" i="24"/>
  <c r="AP28" i="24"/>
  <c r="AN29" i="24"/>
  <c r="AO29" i="24"/>
  <c r="AP29" i="24"/>
  <c r="AN30" i="24"/>
  <c r="AO30" i="24"/>
  <c r="AP30" i="24"/>
  <c r="AN31" i="24"/>
  <c r="AO31" i="24"/>
  <c r="AP31" i="24"/>
  <c r="AN32" i="24"/>
  <c r="AO32" i="24"/>
  <c r="AP32" i="24"/>
  <c r="AN33" i="24"/>
  <c r="AO33" i="24"/>
  <c r="AP33" i="24"/>
  <c r="AN34" i="24"/>
  <c r="AO34" i="24"/>
  <c r="AP34" i="24"/>
  <c r="AN35" i="24"/>
  <c r="AO35" i="24"/>
  <c r="AP35" i="24"/>
  <c r="AO7" i="24"/>
  <c r="AP7" i="24"/>
  <c r="AN7" i="24"/>
  <c r="AH8" i="24"/>
  <c r="AI8" i="24"/>
  <c r="AJ8" i="24"/>
  <c r="AH9" i="24"/>
  <c r="AI9" i="24"/>
  <c r="AJ9" i="24"/>
  <c r="AH10" i="24"/>
  <c r="AI10" i="24"/>
  <c r="AJ10" i="24"/>
  <c r="AH11" i="24"/>
  <c r="AI11" i="24"/>
  <c r="AJ11" i="24"/>
  <c r="AH12" i="24"/>
  <c r="AI12" i="24"/>
  <c r="AJ12" i="24"/>
  <c r="AH13" i="24"/>
  <c r="AI13" i="24"/>
  <c r="AJ13" i="24"/>
  <c r="AH14" i="24"/>
  <c r="AI14" i="24"/>
  <c r="AJ14" i="24"/>
  <c r="AH15" i="24"/>
  <c r="AI15" i="24"/>
  <c r="AJ15" i="24"/>
  <c r="AH16" i="24"/>
  <c r="AI16" i="24"/>
  <c r="AJ16" i="24"/>
  <c r="AH17" i="24"/>
  <c r="AI17" i="24"/>
  <c r="AJ17" i="24"/>
  <c r="AH18" i="24"/>
  <c r="AI18" i="24"/>
  <c r="AJ18" i="24"/>
  <c r="AH19" i="24"/>
  <c r="AI19" i="24"/>
  <c r="AJ19" i="24"/>
  <c r="AH20" i="24"/>
  <c r="AI20" i="24"/>
  <c r="AJ20" i="24"/>
  <c r="AH21" i="24"/>
  <c r="AI21" i="24"/>
  <c r="AJ21" i="24"/>
  <c r="AH22" i="24"/>
  <c r="AI22" i="24"/>
  <c r="AJ22" i="24"/>
  <c r="AH23" i="24"/>
  <c r="AI23" i="24"/>
  <c r="AJ23" i="24"/>
  <c r="AH24" i="24"/>
  <c r="AI24" i="24"/>
  <c r="AJ24" i="24"/>
  <c r="AH25" i="24"/>
  <c r="AI25" i="24"/>
  <c r="AJ25" i="24"/>
  <c r="AH26" i="24"/>
  <c r="AI26" i="24"/>
  <c r="AJ26" i="24"/>
  <c r="AH27" i="24"/>
  <c r="AI27" i="24"/>
  <c r="AJ27" i="24"/>
  <c r="AH28" i="24"/>
  <c r="AI28" i="24"/>
  <c r="AJ28" i="24"/>
  <c r="AH29" i="24"/>
  <c r="AI29" i="24"/>
  <c r="AJ29" i="24"/>
  <c r="AH30" i="24"/>
  <c r="AI30" i="24"/>
  <c r="AJ30" i="24"/>
  <c r="AH31" i="24"/>
  <c r="AI31" i="24"/>
  <c r="AJ31" i="24"/>
  <c r="AH32" i="24"/>
  <c r="AI32" i="24"/>
  <c r="AJ32" i="24"/>
  <c r="AH33" i="24"/>
  <c r="AI33" i="24"/>
  <c r="AJ33" i="24"/>
  <c r="AH34" i="24"/>
  <c r="AI34" i="24"/>
  <c r="AJ34" i="24"/>
  <c r="AH35" i="24"/>
  <c r="AI35" i="24"/>
  <c r="AJ35" i="24"/>
  <c r="AI7" i="24"/>
  <c r="AJ7" i="24"/>
  <c r="AH7" i="24"/>
  <c r="AB8" i="24"/>
  <c r="AC8" i="24"/>
  <c r="AD8" i="24"/>
  <c r="AB9" i="24"/>
  <c r="AC9" i="24"/>
  <c r="AD9" i="24"/>
  <c r="AB10" i="24"/>
  <c r="AC10" i="24"/>
  <c r="AD10" i="24"/>
  <c r="AB11" i="24"/>
  <c r="AC11" i="24"/>
  <c r="AD11" i="24"/>
  <c r="AB12" i="24"/>
  <c r="AC12" i="24"/>
  <c r="AD12" i="24"/>
  <c r="AB13" i="24"/>
  <c r="AC13" i="24"/>
  <c r="AD13" i="24"/>
  <c r="AB14" i="24"/>
  <c r="AC14" i="24"/>
  <c r="AD14" i="24"/>
  <c r="AB15" i="24"/>
  <c r="AC15" i="24"/>
  <c r="AD15" i="24"/>
  <c r="AB16" i="24"/>
  <c r="AC16" i="24"/>
  <c r="AD16" i="24"/>
  <c r="AB17" i="24"/>
  <c r="AC17" i="24"/>
  <c r="AD17" i="24"/>
  <c r="AB18" i="24"/>
  <c r="AC18" i="24"/>
  <c r="AD18" i="24"/>
  <c r="AB19" i="24"/>
  <c r="AC19" i="24"/>
  <c r="AD19" i="24"/>
  <c r="AB20" i="24"/>
  <c r="AC20" i="24"/>
  <c r="AD20" i="24"/>
  <c r="AB21" i="24"/>
  <c r="AC21" i="24"/>
  <c r="AD21" i="24"/>
  <c r="AB22" i="24"/>
  <c r="AC22" i="24"/>
  <c r="AD22" i="24"/>
  <c r="AB23" i="24"/>
  <c r="AC23" i="24"/>
  <c r="AD23" i="24"/>
  <c r="AB24" i="24"/>
  <c r="AC24" i="24"/>
  <c r="AD24" i="24"/>
  <c r="AB25" i="24"/>
  <c r="AC25" i="24"/>
  <c r="AD25" i="24"/>
  <c r="AB26" i="24"/>
  <c r="AC26" i="24"/>
  <c r="AD26" i="24"/>
  <c r="AB27" i="24"/>
  <c r="AC27" i="24"/>
  <c r="AD27" i="24"/>
  <c r="AB28" i="24"/>
  <c r="AC28" i="24"/>
  <c r="AD28" i="24"/>
  <c r="AB29" i="24"/>
  <c r="AC29" i="24"/>
  <c r="AD29" i="24"/>
  <c r="AB30" i="24"/>
  <c r="AC30" i="24"/>
  <c r="AD30" i="24"/>
  <c r="AB31" i="24"/>
  <c r="AC31" i="24"/>
  <c r="AD31" i="24"/>
  <c r="AB32" i="24"/>
  <c r="AC32" i="24"/>
  <c r="AD32" i="24"/>
  <c r="AB33" i="24"/>
  <c r="AC33" i="24"/>
  <c r="AD33" i="24"/>
  <c r="AB34" i="24"/>
  <c r="AC34" i="24"/>
  <c r="AD34" i="24"/>
  <c r="AB35" i="24"/>
  <c r="AC35" i="24"/>
  <c r="AD35" i="24"/>
  <c r="AC7" i="24"/>
  <c r="AD7" i="24"/>
  <c r="AB7" i="24"/>
  <c r="P33" i="24"/>
  <c r="P34" i="24"/>
  <c r="P35" i="24"/>
  <c r="L33" i="24"/>
  <c r="L34" i="24"/>
  <c r="L35" i="24"/>
  <c r="H33" i="24"/>
  <c r="H34" i="24"/>
  <c r="H35" i="24"/>
  <c r="J33" i="3"/>
  <c r="K33" i="3"/>
  <c r="F33" i="3"/>
  <c r="G33" i="3"/>
  <c r="BG2" i="31" l="1"/>
  <c r="BH2" i="31"/>
  <c r="AS3" i="13"/>
  <c r="C3" i="13" l="1"/>
  <c r="C2" i="27"/>
  <c r="FA36" i="20" l="1"/>
  <c r="FD36" i="20" s="1"/>
  <c r="EZ36" i="20"/>
  <c r="FC36" i="20" s="1"/>
  <c r="EY36" i="20"/>
  <c r="FB36" i="20" s="1"/>
  <c r="ET36" i="20"/>
  <c r="EW36" i="20" s="1"/>
  <c r="ES36" i="20"/>
  <c r="EV36" i="20" s="1"/>
  <c r="EO36" i="20"/>
  <c r="ER36" i="20" s="1"/>
  <c r="EN36" i="20"/>
  <c r="EQ36" i="20" s="1"/>
  <c r="EM36" i="20"/>
  <c r="EP36" i="20" s="1"/>
  <c r="EH36" i="20"/>
  <c r="EK36" i="20" s="1"/>
  <c r="EG36" i="20"/>
  <c r="EJ36" i="20" s="1"/>
  <c r="EC36" i="20"/>
  <c r="EF36" i="20" s="1"/>
  <c r="EB36" i="20"/>
  <c r="EE36" i="20" s="1"/>
  <c r="EA36" i="20"/>
  <c r="ED36" i="20" s="1"/>
  <c r="DV36" i="20"/>
  <c r="DY36" i="20" s="1"/>
  <c r="DU36" i="20"/>
  <c r="DX36" i="20" s="1"/>
  <c r="DO36" i="20"/>
  <c r="DR36" i="20" s="1"/>
  <c r="DP36" i="20"/>
  <c r="DS36" i="20" s="1"/>
  <c r="DQ36" i="20"/>
  <c r="DT36" i="20" s="1"/>
  <c r="DJ36" i="20"/>
  <c r="DM36" i="20" s="1"/>
  <c r="DI36" i="20"/>
  <c r="DL36" i="20" s="1"/>
  <c r="DE36" i="20"/>
  <c r="DD36" i="20"/>
  <c r="DC36" i="20"/>
  <c r="CX36" i="20"/>
  <c r="DA36" i="20" s="1"/>
  <c r="CW36" i="20"/>
  <c r="DJ37" i="20"/>
  <c r="DM37" i="20" s="1"/>
  <c r="CL36" i="20"/>
  <c r="CK36" i="20"/>
  <c r="EX37" i="20"/>
  <c r="EV37" i="20"/>
  <c r="ET37" i="20"/>
  <c r="EW37" i="20" s="1"/>
  <c r="EU32" i="20"/>
  <c r="EX32" i="20" s="1"/>
  <c r="ES32" i="20"/>
  <c r="EV32" i="20" s="1"/>
  <c r="EU31" i="20"/>
  <c r="EX31" i="20" s="1"/>
  <c r="ES31" i="20"/>
  <c r="ET31" i="20" s="1"/>
  <c r="EW31" i="20" s="1"/>
  <c r="EU30" i="20"/>
  <c r="EX30" i="20" s="1"/>
  <c r="ES30" i="20"/>
  <c r="EV30" i="20" s="1"/>
  <c r="EU29" i="20"/>
  <c r="EX29" i="20" s="1"/>
  <c r="ES29" i="20"/>
  <c r="ET29" i="20" s="1"/>
  <c r="EW29" i="20" s="1"/>
  <c r="EU28" i="20"/>
  <c r="EX28" i="20" s="1"/>
  <c r="ES28" i="20"/>
  <c r="EV28" i="20" s="1"/>
  <c r="EU27" i="20"/>
  <c r="EX27" i="20" s="1"/>
  <c r="ES27" i="20"/>
  <c r="ET27" i="20" s="1"/>
  <c r="EW27" i="20" s="1"/>
  <c r="EU26" i="20"/>
  <c r="EX26" i="20" s="1"/>
  <c r="ES26" i="20"/>
  <c r="EV26" i="20" s="1"/>
  <c r="EU25" i="20"/>
  <c r="EX25" i="20" s="1"/>
  <c r="ES25" i="20"/>
  <c r="ET25" i="20" s="1"/>
  <c r="EW25" i="20" s="1"/>
  <c r="EU24" i="20"/>
  <c r="EX24" i="20" s="1"/>
  <c r="ES24" i="20"/>
  <c r="EV24" i="20" s="1"/>
  <c r="EU23" i="20"/>
  <c r="EX23" i="20" s="1"/>
  <c r="ES23" i="20"/>
  <c r="ET23" i="20" s="1"/>
  <c r="EW23" i="20" s="1"/>
  <c r="EU22" i="20"/>
  <c r="EX22" i="20" s="1"/>
  <c r="ES22" i="20"/>
  <c r="EV22" i="20" s="1"/>
  <c r="EU21" i="20"/>
  <c r="EX21" i="20" s="1"/>
  <c r="ES21" i="20"/>
  <c r="ET21" i="20" s="1"/>
  <c r="EW21" i="20" s="1"/>
  <c r="EU20" i="20"/>
  <c r="EX20" i="20" s="1"/>
  <c r="ES20" i="20"/>
  <c r="EV20" i="20" s="1"/>
  <c r="EU19" i="20"/>
  <c r="EX19" i="20" s="1"/>
  <c r="ES19" i="20"/>
  <c r="ET19" i="20" s="1"/>
  <c r="EW19" i="20" s="1"/>
  <c r="EU18" i="20"/>
  <c r="EX18" i="20" s="1"/>
  <c r="ES18" i="20"/>
  <c r="EV18" i="20" s="1"/>
  <c r="EU17" i="20"/>
  <c r="EX17" i="20" s="1"/>
  <c r="ES17" i="20"/>
  <c r="ET17" i="20" s="1"/>
  <c r="EW17" i="20" s="1"/>
  <c r="EU16" i="20"/>
  <c r="EX16" i="20" s="1"/>
  <c r="ES16" i="20"/>
  <c r="EV16" i="20" s="1"/>
  <c r="EU15" i="20"/>
  <c r="EX15" i="20" s="1"/>
  <c r="ES15" i="20"/>
  <c r="ET15" i="20" s="1"/>
  <c r="EW15" i="20" s="1"/>
  <c r="EU14" i="20"/>
  <c r="EX14" i="20" s="1"/>
  <c r="ES14" i="20"/>
  <c r="EV14" i="20" s="1"/>
  <c r="EU13" i="20"/>
  <c r="EX13" i="20" s="1"/>
  <c r="ES13" i="20"/>
  <c r="ET13" i="20" s="1"/>
  <c r="EW13" i="20" s="1"/>
  <c r="EU12" i="20"/>
  <c r="EX12" i="20" s="1"/>
  <c r="ES12" i="20"/>
  <c r="EV12" i="20" s="1"/>
  <c r="EU11" i="20"/>
  <c r="EX11" i="20" s="1"/>
  <c r="ES11" i="20"/>
  <c r="ET11" i="20" s="1"/>
  <c r="EW11" i="20" s="1"/>
  <c r="EU10" i="20"/>
  <c r="EX10" i="20" s="1"/>
  <c r="ES10" i="20"/>
  <c r="EV10" i="20" s="1"/>
  <c r="EU9" i="20"/>
  <c r="EX9" i="20" s="1"/>
  <c r="ES9" i="20"/>
  <c r="ET9" i="20" s="1"/>
  <c r="EW9" i="20" s="1"/>
  <c r="EU8" i="20"/>
  <c r="EX8" i="20" s="1"/>
  <c r="ES8" i="20"/>
  <c r="EV8" i="20" s="1"/>
  <c r="EU7" i="20"/>
  <c r="EX7" i="20" s="1"/>
  <c r="ES7" i="20"/>
  <c r="ET7" i="20" s="1"/>
  <c r="EW7" i="20" s="1"/>
  <c r="ES5" i="20"/>
  <c r="EL37" i="20"/>
  <c r="EJ37" i="20"/>
  <c r="EH37" i="20"/>
  <c r="EK37" i="20" s="1"/>
  <c r="EI32" i="20"/>
  <c r="EL32" i="20" s="1"/>
  <c r="EG32" i="20"/>
  <c r="EJ32" i="20" s="1"/>
  <c r="EI31" i="20"/>
  <c r="EL31" i="20" s="1"/>
  <c r="EG31" i="20"/>
  <c r="EH31" i="20" s="1"/>
  <c r="EK31" i="20" s="1"/>
  <c r="EI30" i="20"/>
  <c r="EL30" i="20" s="1"/>
  <c r="EG30" i="20"/>
  <c r="EJ30" i="20" s="1"/>
  <c r="EI29" i="20"/>
  <c r="EL29" i="20" s="1"/>
  <c r="EG29" i="20"/>
  <c r="EH29" i="20" s="1"/>
  <c r="EK29" i="20" s="1"/>
  <c r="EI28" i="20"/>
  <c r="EL28" i="20" s="1"/>
  <c r="EG28" i="20"/>
  <c r="EJ28" i="20" s="1"/>
  <c r="EI27" i="20"/>
  <c r="EL27" i="20" s="1"/>
  <c r="EG27" i="20"/>
  <c r="EH27" i="20" s="1"/>
  <c r="EK27" i="20" s="1"/>
  <c r="EI26" i="20"/>
  <c r="EL26" i="20" s="1"/>
  <c r="EG26" i="20"/>
  <c r="EJ26" i="20" s="1"/>
  <c r="EI25" i="20"/>
  <c r="EL25" i="20" s="1"/>
  <c r="EG25" i="20"/>
  <c r="EH25" i="20" s="1"/>
  <c r="EK25" i="20" s="1"/>
  <c r="EI24" i="20"/>
  <c r="EL24" i="20" s="1"/>
  <c r="EG24" i="20"/>
  <c r="EJ24" i="20" s="1"/>
  <c r="EI23" i="20"/>
  <c r="EL23" i="20" s="1"/>
  <c r="EG23" i="20"/>
  <c r="EH23" i="20" s="1"/>
  <c r="EK23" i="20" s="1"/>
  <c r="EI22" i="20"/>
  <c r="EL22" i="20" s="1"/>
  <c r="EG22" i="20"/>
  <c r="EJ22" i="20" s="1"/>
  <c r="EI21" i="20"/>
  <c r="EL21" i="20" s="1"/>
  <c r="EG21" i="20"/>
  <c r="EH21" i="20" s="1"/>
  <c r="EK21" i="20" s="1"/>
  <c r="EI20" i="20"/>
  <c r="EL20" i="20" s="1"/>
  <c r="EG20" i="20"/>
  <c r="EJ20" i="20" s="1"/>
  <c r="EI19" i="20"/>
  <c r="EL19" i="20" s="1"/>
  <c r="EG19" i="20"/>
  <c r="EH19" i="20" s="1"/>
  <c r="EK19" i="20" s="1"/>
  <c r="EI18" i="20"/>
  <c r="EL18" i="20" s="1"/>
  <c r="EG18" i="20"/>
  <c r="EJ18" i="20" s="1"/>
  <c r="EI17" i="20"/>
  <c r="EL17" i="20" s="1"/>
  <c r="EG17" i="20"/>
  <c r="EH17" i="20" s="1"/>
  <c r="EK17" i="20" s="1"/>
  <c r="EI16" i="20"/>
  <c r="EL16" i="20" s="1"/>
  <c r="EG16" i="20"/>
  <c r="EJ16" i="20" s="1"/>
  <c r="EI15" i="20"/>
  <c r="EL15" i="20" s="1"/>
  <c r="EG15" i="20"/>
  <c r="EH15" i="20" s="1"/>
  <c r="EK15" i="20" s="1"/>
  <c r="EI14" i="20"/>
  <c r="EL14" i="20" s="1"/>
  <c r="EG14" i="20"/>
  <c r="EJ14" i="20" s="1"/>
  <c r="EI13" i="20"/>
  <c r="EL13" i="20" s="1"/>
  <c r="EG13" i="20"/>
  <c r="EH13" i="20" s="1"/>
  <c r="EK13" i="20" s="1"/>
  <c r="EI12" i="20"/>
  <c r="EL12" i="20" s="1"/>
  <c r="EG12" i="20"/>
  <c r="EJ12" i="20" s="1"/>
  <c r="EI11" i="20"/>
  <c r="EL11" i="20" s="1"/>
  <c r="EG11" i="20"/>
  <c r="EH11" i="20" s="1"/>
  <c r="EK11" i="20" s="1"/>
  <c r="EI10" i="20"/>
  <c r="EL10" i="20" s="1"/>
  <c r="EG10" i="20"/>
  <c r="EJ10" i="20" s="1"/>
  <c r="EI9" i="20"/>
  <c r="EL9" i="20" s="1"/>
  <c r="EG9" i="20"/>
  <c r="EH9" i="20" s="1"/>
  <c r="EK9" i="20" s="1"/>
  <c r="EI8" i="20"/>
  <c r="EL8" i="20" s="1"/>
  <c r="EG8" i="20"/>
  <c r="EJ8" i="20" s="1"/>
  <c r="EI7" i="20"/>
  <c r="EL7" i="20" s="1"/>
  <c r="EG7" i="20"/>
  <c r="EH7" i="20" s="1"/>
  <c r="EK7" i="20" s="1"/>
  <c r="EG5" i="20"/>
  <c r="DZ37" i="20"/>
  <c r="DX37" i="20"/>
  <c r="DV37" i="20"/>
  <c r="DY37" i="20" s="1"/>
  <c r="DW32" i="20"/>
  <c r="DZ32" i="20" s="1"/>
  <c r="DU32" i="20"/>
  <c r="DX32" i="20" s="1"/>
  <c r="DW31" i="20"/>
  <c r="DZ31" i="20" s="1"/>
  <c r="DU31" i="20"/>
  <c r="DV31" i="20" s="1"/>
  <c r="DY31" i="20" s="1"/>
  <c r="DW30" i="20"/>
  <c r="DZ30" i="20" s="1"/>
  <c r="DU30" i="20"/>
  <c r="DX30" i="20" s="1"/>
  <c r="DW29" i="20"/>
  <c r="DZ29" i="20" s="1"/>
  <c r="DU29" i="20"/>
  <c r="DV29" i="20" s="1"/>
  <c r="DY29" i="20" s="1"/>
  <c r="DZ28" i="20"/>
  <c r="DW28" i="20"/>
  <c r="DU28" i="20"/>
  <c r="DX28" i="20" s="1"/>
  <c r="DX27" i="20"/>
  <c r="DW27" i="20"/>
  <c r="DZ27" i="20" s="1"/>
  <c r="DU27" i="20"/>
  <c r="DV27" i="20" s="1"/>
  <c r="DY27" i="20" s="1"/>
  <c r="DW26" i="20"/>
  <c r="DZ26" i="20" s="1"/>
  <c r="DU26" i="20"/>
  <c r="DX26" i="20" s="1"/>
  <c r="DW25" i="20"/>
  <c r="DZ25" i="20" s="1"/>
  <c r="DU25" i="20"/>
  <c r="DV25" i="20" s="1"/>
  <c r="DY25" i="20" s="1"/>
  <c r="DW24" i="20"/>
  <c r="DZ24" i="20" s="1"/>
  <c r="DU24" i="20"/>
  <c r="DX24" i="20" s="1"/>
  <c r="DW23" i="20"/>
  <c r="DZ23" i="20" s="1"/>
  <c r="DU23" i="20"/>
  <c r="DV23" i="20" s="1"/>
  <c r="DY23" i="20" s="1"/>
  <c r="DW22" i="20"/>
  <c r="DZ22" i="20" s="1"/>
  <c r="DU22" i="20"/>
  <c r="DX22" i="20" s="1"/>
  <c r="DW21" i="20"/>
  <c r="DZ21" i="20" s="1"/>
  <c r="DU21" i="20"/>
  <c r="DV21" i="20" s="1"/>
  <c r="DY21" i="20" s="1"/>
  <c r="DW20" i="20"/>
  <c r="DZ20" i="20" s="1"/>
  <c r="DU20" i="20"/>
  <c r="DX20" i="20" s="1"/>
  <c r="DX19" i="20"/>
  <c r="DW19" i="20"/>
  <c r="DZ19" i="20" s="1"/>
  <c r="DU19" i="20"/>
  <c r="DV19" i="20" s="1"/>
  <c r="DY19" i="20" s="1"/>
  <c r="DW18" i="20"/>
  <c r="DZ18" i="20" s="1"/>
  <c r="DU18" i="20"/>
  <c r="DX18" i="20" s="1"/>
  <c r="DW17" i="20"/>
  <c r="DZ17" i="20" s="1"/>
  <c r="DU17" i="20"/>
  <c r="DV17" i="20" s="1"/>
  <c r="DY17" i="20" s="1"/>
  <c r="DW16" i="20"/>
  <c r="DZ16" i="20" s="1"/>
  <c r="DU16" i="20"/>
  <c r="DX16" i="20" s="1"/>
  <c r="DW15" i="20"/>
  <c r="DZ15" i="20" s="1"/>
  <c r="DU15" i="20"/>
  <c r="DV15" i="20" s="1"/>
  <c r="DY15" i="20" s="1"/>
  <c r="DW14" i="20"/>
  <c r="DZ14" i="20" s="1"/>
  <c r="DU14" i="20"/>
  <c r="DX14" i="20" s="1"/>
  <c r="DW13" i="20"/>
  <c r="DZ13" i="20" s="1"/>
  <c r="DU13" i="20"/>
  <c r="DV13" i="20" s="1"/>
  <c r="DY13" i="20" s="1"/>
  <c r="DZ12" i="20"/>
  <c r="DW12" i="20"/>
  <c r="DU12" i="20"/>
  <c r="DX12" i="20" s="1"/>
  <c r="DW11" i="20"/>
  <c r="DZ11" i="20" s="1"/>
  <c r="DU11" i="20"/>
  <c r="DV11" i="20" s="1"/>
  <c r="DY11" i="20" s="1"/>
  <c r="DW10" i="20"/>
  <c r="DZ10" i="20" s="1"/>
  <c r="DU10" i="20"/>
  <c r="DW9" i="20"/>
  <c r="DZ9" i="20" s="1"/>
  <c r="DU9" i="20"/>
  <c r="DV9" i="20" s="1"/>
  <c r="DY9" i="20" s="1"/>
  <c r="DW8" i="20"/>
  <c r="DZ8" i="20" s="1"/>
  <c r="DU8" i="20"/>
  <c r="DW7" i="20"/>
  <c r="DZ7" i="20" s="1"/>
  <c r="DU7" i="20"/>
  <c r="DV7" i="20" s="1"/>
  <c r="DY7" i="20" s="1"/>
  <c r="DU5" i="20"/>
  <c r="DN37" i="20"/>
  <c r="DL37" i="20"/>
  <c r="DK32" i="20"/>
  <c r="DN32" i="20" s="1"/>
  <c r="DI32" i="20"/>
  <c r="DL32" i="20" s="1"/>
  <c r="DK31" i="20"/>
  <c r="DN31" i="20" s="1"/>
  <c r="DI31" i="20"/>
  <c r="DJ31" i="20" s="1"/>
  <c r="DM31" i="20" s="1"/>
  <c r="DK30" i="20"/>
  <c r="DN30" i="20" s="1"/>
  <c r="DI30" i="20"/>
  <c r="DL30" i="20" s="1"/>
  <c r="DK29" i="20"/>
  <c r="DN29" i="20" s="1"/>
  <c r="DI29" i="20"/>
  <c r="DJ29" i="20" s="1"/>
  <c r="DM29" i="20" s="1"/>
  <c r="DK28" i="20"/>
  <c r="DN28" i="20" s="1"/>
  <c r="DI28" i="20"/>
  <c r="DL28" i="20" s="1"/>
  <c r="DK27" i="20"/>
  <c r="DN27" i="20" s="1"/>
  <c r="DI27" i="20"/>
  <c r="DJ27" i="20" s="1"/>
  <c r="DM27" i="20" s="1"/>
  <c r="DK26" i="20"/>
  <c r="DN26" i="20" s="1"/>
  <c r="DI26" i="20"/>
  <c r="DL26" i="20" s="1"/>
  <c r="DK25" i="20"/>
  <c r="DN25" i="20" s="1"/>
  <c r="DI25" i="20"/>
  <c r="DJ25" i="20" s="1"/>
  <c r="DM25" i="20" s="1"/>
  <c r="DK24" i="20"/>
  <c r="DN24" i="20" s="1"/>
  <c r="DI24" i="20"/>
  <c r="DL24" i="20" s="1"/>
  <c r="DK23" i="20"/>
  <c r="DN23" i="20" s="1"/>
  <c r="DI23" i="20"/>
  <c r="DJ23" i="20" s="1"/>
  <c r="DM23" i="20" s="1"/>
  <c r="DK22" i="20"/>
  <c r="DN22" i="20" s="1"/>
  <c r="DI22" i="20"/>
  <c r="DL22" i="20" s="1"/>
  <c r="DK21" i="20"/>
  <c r="DN21" i="20" s="1"/>
  <c r="DI21" i="20"/>
  <c r="DJ21" i="20" s="1"/>
  <c r="DM21" i="20" s="1"/>
  <c r="DK20" i="20"/>
  <c r="DN20" i="20" s="1"/>
  <c r="DI20" i="20"/>
  <c r="DL20" i="20" s="1"/>
  <c r="DK19" i="20"/>
  <c r="DN19" i="20" s="1"/>
  <c r="DI19" i="20"/>
  <c r="DJ19" i="20" s="1"/>
  <c r="DM19" i="20" s="1"/>
  <c r="DK18" i="20"/>
  <c r="DN18" i="20" s="1"/>
  <c r="DI18" i="20"/>
  <c r="DL18" i="20" s="1"/>
  <c r="DK17" i="20"/>
  <c r="DN17" i="20" s="1"/>
  <c r="DI17" i="20"/>
  <c r="DJ17" i="20" s="1"/>
  <c r="DM17" i="20" s="1"/>
  <c r="DK16" i="20"/>
  <c r="DN16" i="20" s="1"/>
  <c r="DI16" i="20"/>
  <c r="DL16" i="20" s="1"/>
  <c r="DK15" i="20"/>
  <c r="DN15" i="20" s="1"/>
  <c r="DI15" i="20"/>
  <c r="DJ15" i="20" s="1"/>
  <c r="DM15" i="20" s="1"/>
  <c r="DK14" i="20"/>
  <c r="DN14" i="20" s="1"/>
  <c r="DI14" i="20"/>
  <c r="DL14" i="20" s="1"/>
  <c r="DK13" i="20"/>
  <c r="DN13" i="20" s="1"/>
  <c r="DI13" i="20"/>
  <c r="DJ13" i="20" s="1"/>
  <c r="DM13" i="20" s="1"/>
  <c r="DK12" i="20"/>
  <c r="DN12" i="20" s="1"/>
  <c r="DI12" i="20"/>
  <c r="DL12" i="20" s="1"/>
  <c r="DK11" i="20"/>
  <c r="DN11" i="20" s="1"/>
  <c r="DI11" i="20"/>
  <c r="DJ11" i="20" s="1"/>
  <c r="DM11" i="20" s="1"/>
  <c r="DK10" i="20"/>
  <c r="DN10" i="20" s="1"/>
  <c r="DI10" i="20"/>
  <c r="DL10" i="20" s="1"/>
  <c r="DK9" i="20"/>
  <c r="DN9" i="20" s="1"/>
  <c r="DI9" i="20"/>
  <c r="DJ9" i="20" s="1"/>
  <c r="DM9" i="20" s="1"/>
  <c r="DK8" i="20"/>
  <c r="DN8" i="20" s="1"/>
  <c r="DI8" i="20"/>
  <c r="DL8" i="20" s="1"/>
  <c r="DK7" i="20"/>
  <c r="DN7" i="20" s="1"/>
  <c r="DI7" i="20"/>
  <c r="DJ7" i="20" s="1"/>
  <c r="DM7" i="20" s="1"/>
  <c r="DI5" i="20"/>
  <c r="DB37" i="20"/>
  <c r="CZ37" i="20"/>
  <c r="CX37" i="20"/>
  <c r="DA37" i="20" s="1"/>
  <c r="CZ36" i="20"/>
  <c r="CY32" i="20"/>
  <c r="DB32" i="20" s="1"/>
  <c r="CW32" i="20"/>
  <c r="CZ32" i="20" s="1"/>
  <c r="CY31" i="20"/>
  <c r="DB31" i="20" s="1"/>
  <c r="CW31" i="20"/>
  <c r="CX31" i="20" s="1"/>
  <c r="DA31" i="20" s="1"/>
  <c r="CY30" i="20"/>
  <c r="DB30" i="20" s="1"/>
  <c r="CW30" i="20"/>
  <c r="CZ30" i="20" s="1"/>
  <c r="CY29" i="20"/>
  <c r="DB29" i="20" s="1"/>
  <c r="CW29" i="20"/>
  <c r="CX29" i="20" s="1"/>
  <c r="DA29" i="20" s="1"/>
  <c r="CY28" i="20"/>
  <c r="DB28" i="20" s="1"/>
  <c r="CW28" i="20"/>
  <c r="CZ28" i="20" s="1"/>
  <c r="CY27" i="20"/>
  <c r="DB27" i="20" s="1"/>
  <c r="CW27" i="20"/>
  <c r="CX27" i="20" s="1"/>
  <c r="DA27" i="20" s="1"/>
  <c r="CY26" i="20"/>
  <c r="DB26" i="20" s="1"/>
  <c r="CW26" i="20"/>
  <c r="CZ26" i="20" s="1"/>
  <c r="CY25" i="20"/>
  <c r="DB25" i="20" s="1"/>
  <c r="CW25" i="20"/>
  <c r="CX25" i="20" s="1"/>
  <c r="DA25" i="20" s="1"/>
  <c r="CY24" i="20"/>
  <c r="DB24" i="20" s="1"/>
  <c r="CW24" i="20"/>
  <c r="CZ24" i="20" s="1"/>
  <c r="CY23" i="20"/>
  <c r="DB23" i="20" s="1"/>
  <c r="CW23" i="20"/>
  <c r="CX23" i="20" s="1"/>
  <c r="DA23" i="20" s="1"/>
  <c r="CY22" i="20"/>
  <c r="DB22" i="20" s="1"/>
  <c r="CW22" i="20"/>
  <c r="CZ22" i="20" s="1"/>
  <c r="CY21" i="20"/>
  <c r="DB21" i="20" s="1"/>
  <c r="CW21" i="20"/>
  <c r="CX21" i="20" s="1"/>
  <c r="DA21" i="20" s="1"/>
  <c r="CY20" i="20"/>
  <c r="DB20" i="20" s="1"/>
  <c r="CW20" i="20"/>
  <c r="CZ20" i="20" s="1"/>
  <c r="CY19" i="20"/>
  <c r="DB19" i="20" s="1"/>
  <c r="CW19" i="20"/>
  <c r="CX19" i="20" s="1"/>
  <c r="DA19" i="20" s="1"/>
  <c r="CY18" i="20"/>
  <c r="DB18" i="20" s="1"/>
  <c r="CW18" i="20"/>
  <c r="CZ18" i="20" s="1"/>
  <c r="CY17" i="20"/>
  <c r="DB17" i="20" s="1"/>
  <c r="CW17" i="20"/>
  <c r="CX17" i="20" s="1"/>
  <c r="DA17" i="20" s="1"/>
  <c r="CY16" i="20"/>
  <c r="DB16" i="20" s="1"/>
  <c r="CW16" i="20"/>
  <c r="CZ16" i="20" s="1"/>
  <c r="CY15" i="20"/>
  <c r="DB15" i="20" s="1"/>
  <c r="CW15" i="20"/>
  <c r="CX15" i="20" s="1"/>
  <c r="DA15" i="20" s="1"/>
  <c r="CY14" i="20"/>
  <c r="DB14" i="20" s="1"/>
  <c r="CW14" i="20"/>
  <c r="CZ14" i="20" s="1"/>
  <c r="CY13" i="20"/>
  <c r="DB13" i="20" s="1"/>
  <c r="CW13" i="20"/>
  <c r="CX13" i="20" s="1"/>
  <c r="DA13" i="20" s="1"/>
  <c r="CY12" i="20"/>
  <c r="DB12" i="20" s="1"/>
  <c r="CW12" i="20"/>
  <c r="CZ12" i="20" s="1"/>
  <c r="CY11" i="20"/>
  <c r="DB11" i="20" s="1"/>
  <c r="CW11" i="20"/>
  <c r="CX11" i="20" s="1"/>
  <c r="DA11" i="20" s="1"/>
  <c r="CY10" i="20"/>
  <c r="DB10" i="20" s="1"/>
  <c r="CW10" i="20"/>
  <c r="CZ10" i="20" s="1"/>
  <c r="CY9" i="20"/>
  <c r="DB9" i="20" s="1"/>
  <c r="CW9" i="20"/>
  <c r="CX9" i="20" s="1"/>
  <c r="DA9" i="20" s="1"/>
  <c r="CY8" i="20"/>
  <c r="DB8" i="20" s="1"/>
  <c r="CW8" i="20"/>
  <c r="CZ8" i="20" s="1"/>
  <c r="CY7" i="20"/>
  <c r="DB7" i="20" s="1"/>
  <c r="CW7" i="20"/>
  <c r="CX7" i="20" s="1"/>
  <c r="DA7" i="20" s="1"/>
  <c r="CW5" i="20"/>
  <c r="DX11" i="20" l="1"/>
  <c r="DX9" i="20"/>
  <c r="DX17" i="20"/>
  <c r="DX25" i="20"/>
  <c r="DX7" i="20"/>
  <c r="DX15" i="20"/>
  <c r="DX23" i="20"/>
  <c r="DX31" i="20"/>
  <c r="DX13" i="20"/>
  <c r="DX21" i="20"/>
  <c r="DX29" i="20"/>
  <c r="EV7" i="20"/>
  <c r="ET8" i="20"/>
  <c r="EW8" i="20" s="1"/>
  <c r="EV9" i="20"/>
  <c r="ET10" i="20"/>
  <c r="EW10" i="20" s="1"/>
  <c r="EV11" i="20"/>
  <c r="ET12" i="20"/>
  <c r="EW12" i="20" s="1"/>
  <c r="EV13" i="20"/>
  <c r="ET14" i="20"/>
  <c r="EW14" i="20" s="1"/>
  <c r="EV15" i="20"/>
  <c r="ET16" i="20"/>
  <c r="EW16" i="20" s="1"/>
  <c r="EV17" i="20"/>
  <c r="ET18" i="20"/>
  <c r="EW18" i="20" s="1"/>
  <c r="EV19" i="20"/>
  <c r="ET20" i="20"/>
  <c r="EW20" i="20" s="1"/>
  <c r="EV21" i="20"/>
  <c r="ET22" i="20"/>
  <c r="EW22" i="20" s="1"/>
  <c r="EV23" i="20"/>
  <c r="ET24" i="20"/>
  <c r="EW24" i="20" s="1"/>
  <c r="EV25" i="20"/>
  <c r="ET26" i="20"/>
  <c r="EW26" i="20" s="1"/>
  <c r="EV27" i="20"/>
  <c r="ET28" i="20"/>
  <c r="EW28" i="20" s="1"/>
  <c r="EV29" i="20"/>
  <c r="ET30" i="20"/>
  <c r="EW30" i="20" s="1"/>
  <c r="EV31" i="20"/>
  <c r="ET32" i="20"/>
  <c r="EW32" i="20" s="1"/>
  <c r="EJ7" i="20"/>
  <c r="EH8" i="20"/>
  <c r="EK8" i="20" s="1"/>
  <c r="EJ9" i="20"/>
  <c r="EH10" i="20"/>
  <c r="EK10" i="20" s="1"/>
  <c r="EJ11" i="20"/>
  <c r="EH12" i="20"/>
  <c r="EK12" i="20" s="1"/>
  <c r="EJ13" i="20"/>
  <c r="EH14" i="20"/>
  <c r="EK14" i="20" s="1"/>
  <c r="EJ15" i="20"/>
  <c r="EH16" i="20"/>
  <c r="EK16" i="20" s="1"/>
  <c r="EJ17" i="20"/>
  <c r="EH18" i="20"/>
  <c r="EK18" i="20" s="1"/>
  <c r="EJ19" i="20"/>
  <c r="EH20" i="20"/>
  <c r="EK20" i="20" s="1"/>
  <c r="EJ21" i="20"/>
  <c r="EH22" i="20"/>
  <c r="EK22" i="20" s="1"/>
  <c r="EJ23" i="20"/>
  <c r="EH24" i="20"/>
  <c r="EK24" i="20" s="1"/>
  <c r="EJ25" i="20"/>
  <c r="EH26" i="20"/>
  <c r="EK26" i="20" s="1"/>
  <c r="EJ27" i="20"/>
  <c r="EH28" i="20"/>
  <c r="EK28" i="20" s="1"/>
  <c r="EJ29" i="20"/>
  <c r="EH30" i="20"/>
  <c r="EK30" i="20" s="1"/>
  <c r="EJ31" i="20"/>
  <c r="EH32" i="20"/>
  <c r="EK32" i="20" s="1"/>
  <c r="DX10" i="20"/>
  <c r="DV10" i="20"/>
  <c r="DY10" i="20" s="1"/>
  <c r="DX8" i="20"/>
  <c r="DV8" i="20"/>
  <c r="DY8" i="20" s="1"/>
  <c r="DV12" i="20"/>
  <c r="DY12" i="20" s="1"/>
  <c r="DV14" i="20"/>
  <c r="DY14" i="20" s="1"/>
  <c r="DV16" i="20"/>
  <c r="DY16" i="20" s="1"/>
  <c r="DV18" i="20"/>
  <c r="DY18" i="20" s="1"/>
  <c r="DV20" i="20"/>
  <c r="DY20" i="20" s="1"/>
  <c r="DV22" i="20"/>
  <c r="DY22" i="20" s="1"/>
  <c r="DV24" i="20"/>
  <c r="DY24" i="20" s="1"/>
  <c r="DV26" i="20"/>
  <c r="DY26" i="20" s="1"/>
  <c r="DV28" i="20"/>
  <c r="DY28" i="20" s="1"/>
  <c r="DV30" i="20"/>
  <c r="DY30" i="20" s="1"/>
  <c r="DV32" i="20"/>
  <c r="DY32" i="20" s="1"/>
  <c r="DL7" i="20"/>
  <c r="DJ8" i="20"/>
  <c r="DM8" i="20" s="1"/>
  <c r="DL9" i="20"/>
  <c r="DJ10" i="20"/>
  <c r="DM10" i="20" s="1"/>
  <c r="DL11" i="20"/>
  <c r="DJ12" i="20"/>
  <c r="DM12" i="20" s="1"/>
  <c r="DL13" i="20"/>
  <c r="DJ14" i="20"/>
  <c r="DM14" i="20" s="1"/>
  <c r="DL15" i="20"/>
  <c r="DJ16" i="20"/>
  <c r="DM16" i="20" s="1"/>
  <c r="DL17" i="20"/>
  <c r="DJ18" i="20"/>
  <c r="DM18" i="20" s="1"/>
  <c r="DL19" i="20"/>
  <c r="DJ20" i="20"/>
  <c r="DM20" i="20" s="1"/>
  <c r="DL21" i="20"/>
  <c r="DJ22" i="20"/>
  <c r="DM22" i="20" s="1"/>
  <c r="DL23" i="20"/>
  <c r="DJ24" i="20"/>
  <c r="DM24" i="20" s="1"/>
  <c r="DL25" i="20"/>
  <c r="DJ26" i="20"/>
  <c r="DM26" i="20" s="1"/>
  <c r="DL27" i="20"/>
  <c r="DJ28" i="20"/>
  <c r="DM28" i="20" s="1"/>
  <c r="DL29" i="20"/>
  <c r="DJ30" i="20"/>
  <c r="DM30" i="20" s="1"/>
  <c r="DL31" i="20"/>
  <c r="DJ32" i="20"/>
  <c r="DM32" i="20" s="1"/>
  <c r="CZ7" i="20"/>
  <c r="CX8" i="20"/>
  <c r="DA8" i="20" s="1"/>
  <c r="CZ9" i="20"/>
  <c r="CX10" i="20"/>
  <c r="DA10" i="20" s="1"/>
  <c r="CZ11" i="20"/>
  <c r="CX12" i="20"/>
  <c r="DA12" i="20" s="1"/>
  <c r="CZ13" i="20"/>
  <c r="CX14" i="20"/>
  <c r="DA14" i="20" s="1"/>
  <c r="CZ15" i="20"/>
  <c r="CX16" i="20"/>
  <c r="DA16" i="20" s="1"/>
  <c r="CZ17" i="20"/>
  <c r="CX18" i="20"/>
  <c r="DA18" i="20" s="1"/>
  <c r="CZ19" i="20"/>
  <c r="CX20" i="20"/>
  <c r="DA20" i="20" s="1"/>
  <c r="CZ21" i="20"/>
  <c r="CX22" i="20"/>
  <c r="DA22" i="20" s="1"/>
  <c r="CZ23" i="20"/>
  <c r="CX24" i="20"/>
  <c r="DA24" i="20" s="1"/>
  <c r="CZ25" i="20"/>
  <c r="CX26" i="20"/>
  <c r="DA26" i="20" s="1"/>
  <c r="CZ27" i="20"/>
  <c r="CX28" i="20"/>
  <c r="DA28" i="20" s="1"/>
  <c r="CZ29" i="20"/>
  <c r="CX30" i="20"/>
  <c r="DA30" i="20" s="1"/>
  <c r="CZ31" i="20"/>
  <c r="CX32" i="20"/>
  <c r="DA32" i="20" s="1"/>
  <c r="AZ18" i="31"/>
  <c r="AZ19" i="31"/>
  <c r="AZ20" i="31"/>
  <c r="AZ21" i="31"/>
  <c r="AZ22" i="31"/>
  <c r="AZ23" i="31"/>
  <c r="AZ24" i="31"/>
  <c r="AZ25" i="31"/>
  <c r="AZ26" i="31"/>
  <c r="AZ10" i="31" l="1"/>
  <c r="AZ11" i="31"/>
  <c r="CI36" i="20" l="1"/>
  <c r="CO36" i="20"/>
  <c r="DG36" i="20"/>
  <c r="CU36" i="20"/>
  <c r="AW37" i="20"/>
  <c r="AV37" i="20"/>
  <c r="AW36" i="20"/>
  <c r="AV36" i="20"/>
  <c r="AU32" i="20"/>
  <c r="AW32" i="20" s="1"/>
  <c r="AT32" i="20"/>
  <c r="AV32" i="20" s="1"/>
  <c r="AU31" i="20"/>
  <c r="AW31" i="20" s="1"/>
  <c r="AT31" i="20"/>
  <c r="AV31" i="20" s="1"/>
  <c r="AU30" i="20"/>
  <c r="AW30" i="20" s="1"/>
  <c r="AT30" i="20"/>
  <c r="AV30" i="20" s="1"/>
  <c r="AU29" i="20"/>
  <c r="AW29" i="20" s="1"/>
  <c r="AT29" i="20"/>
  <c r="AV29" i="20" s="1"/>
  <c r="AU28" i="20"/>
  <c r="AW28" i="20" s="1"/>
  <c r="AT28" i="20"/>
  <c r="AV28" i="20" s="1"/>
  <c r="AU27" i="20"/>
  <c r="AW27" i="20" s="1"/>
  <c r="AT27" i="20"/>
  <c r="AV27" i="20" s="1"/>
  <c r="AU26" i="20"/>
  <c r="AW26" i="20" s="1"/>
  <c r="AT26" i="20"/>
  <c r="AV26" i="20" s="1"/>
  <c r="AU25" i="20"/>
  <c r="AW25" i="20" s="1"/>
  <c r="AT25" i="20"/>
  <c r="AV25" i="20" s="1"/>
  <c r="AU24" i="20"/>
  <c r="AW24" i="20" s="1"/>
  <c r="AT24" i="20"/>
  <c r="AV24" i="20" s="1"/>
  <c r="AU23" i="20"/>
  <c r="AW23" i="20" s="1"/>
  <c r="AT23" i="20"/>
  <c r="AV23" i="20" s="1"/>
  <c r="AU22" i="20"/>
  <c r="AW22" i="20" s="1"/>
  <c r="AT22" i="20"/>
  <c r="AV22" i="20" s="1"/>
  <c r="AU21" i="20"/>
  <c r="AW21" i="20" s="1"/>
  <c r="AT21" i="20"/>
  <c r="AV21" i="20" s="1"/>
  <c r="AU20" i="20"/>
  <c r="AW20" i="20" s="1"/>
  <c r="AT20" i="20"/>
  <c r="AV20" i="20" s="1"/>
  <c r="AU19" i="20"/>
  <c r="AW19" i="20" s="1"/>
  <c r="AT19" i="20"/>
  <c r="AV19" i="20" s="1"/>
  <c r="AU18" i="20"/>
  <c r="AW18" i="20" s="1"/>
  <c r="AT18" i="20"/>
  <c r="AV18" i="20" s="1"/>
  <c r="AU17" i="20"/>
  <c r="AW17" i="20" s="1"/>
  <c r="AT17" i="20"/>
  <c r="AV17" i="20" s="1"/>
  <c r="AU16" i="20"/>
  <c r="AW16" i="20" s="1"/>
  <c r="AT16" i="20"/>
  <c r="AV16" i="20" s="1"/>
  <c r="AU15" i="20"/>
  <c r="AW15" i="20" s="1"/>
  <c r="AT15" i="20"/>
  <c r="AV15" i="20" s="1"/>
  <c r="AU14" i="20"/>
  <c r="AW14" i="20" s="1"/>
  <c r="AT14" i="20"/>
  <c r="AV14" i="20" s="1"/>
  <c r="AU13" i="20"/>
  <c r="AW13" i="20" s="1"/>
  <c r="AT13" i="20"/>
  <c r="AV13" i="20" s="1"/>
  <c r="AU12" i="20"/>
  <c r="AW12" i="20" s="1"/>
  <c r="AT12" i="20"/>
  <c r="AV12" i="20" s="1"/>
  <c r="AU11" i="20"/>
  <c r="AW11" i="20" s="1"/>
  <c r="AT11" i="20"/>
  <c r="AV11" i="20" s="1"/>
  <c r="AU10" i="20"/>
  <c r="AW10" i="20" s="1"/>
  <c r="AT10" i="20"/>
  <c r="AV10" i="20" s="1"/>
  <c r="AU9" i="20"/>
  <c r="AW9" i="20" s="1"/>
  <c r="AT9" i="20"/>
  <c r="AV9" i="20" s="1"/>
  <c r="AU8" i="20"/>
  <c r="AW8" i="20" s="1"/>
  <c r="AT8" i="20"/>
  <c r="AV8" i="20" s="1"/>
  <c r="AU7" i="20"/>
  <c r="AW7" i="20" s="1"/>
  <c r="AT7" i="20"/>
  <c r="AV7" i="20" s="1"/>
  <c r="AT5" i="20"/>
  <c r="EY32" i="20"/>
  <c r="EY31" i="20"/>
  <c r="EY30" i="20"/>
  <c r="EY29" i="20"/>
  <c r="EY28" i="20"/>
  <c r="EY27" i="20"/>
  <c r="EY26" i="20"/>
  <c r="EY25" i="20"/>
  <c r="EY24" i="20"/>
  <c r="EY23" i="20"/>
  <c r="EY22" i="20"/>
  <c r="EY21" i="20"/>
  <c r="EY20" i="20"/>
  <c r="EY19" i="20"/>
  <c r="EY18" i="20"/>
  <c r="EY17" i="20"/>
  <c r="EY16" i="20"/>
  <c r="EY15" i="20"/>
  <c r="EY14" i="20"/>
  <c r="EY13" i="20"/>
  <c r="EY12" i="20"/>
  <c r="EY11" i="20"/>
  <c r="EY10" i="20"/>
  <c r="EY9" i="20"/>
  <c r="EY8" i="20"/>
  <c r="EY7" i="20"/>
  <c r="EM32" i="20"/>
  <c r="EM31" i="20"/>
  <c r="EM30" i="20"/>
  <c r="EM29" i="20"/>
  <c r="EM28" i="20"/>
  <c r="EM27" i="20"/>
  <c r="EM26" i="20"/>
  <c r="EM25" i="20"/>
  <c r="EM24" i="20"/>
  <c r="EM23" i="20"/>
  <c r="EM22" i="20"/>
  <c r="EM21" i="20"/>
  <c r="EM20" i="20"/>
  <c r="EM19" i="20"/>
  <c r="EM18" i="20"/>
  <c r="EM17" i="20"/>
  <c r="EM16" i="20"/>
  <c r="EM15" i="20"/>
  <c r="EM14" i="20"/>
  <c r="EM13" i="20"/>
  <c r="EM12" i="20"/>
  <c r="EM11" i="20"/>
  <c r="EM10" i="20"/>
  <c r="EM9" i="20"/>
  <c r="EM8" i="20"/>
  <c r="EM7" i="20"/>
  <c r="EA32" i="20"/>
  <c r="EA31" i="20"/>
  <c r="EA30" i="20"/>
  <c r="EA29" i="20"/>
  <c r="EA28" i="20"/>
  <c r="EA27" i="20"/>
  <c r="EA26" i="20"/>
  <c r="EA25" i="20"/>
  <c r="EA24" i="20"/>
  <c r="EA23" i="20"/>
  <c r="EA22" i="20"/>
  <c r="EA21" i="20"/>
  <c r="EA20" i="20"/>
  <c r="EA19" i="20"/>
  <c r="EA18" i="20"/>
  <c r="EA17" i="20"/>
  <c r="EA16" i="20"/>
  <c r="EA15" i="20"/>
  <c r="EA14" i="20"/>
  <c r="EA13" i="20"/>
  <c r="EA12" i="20"/>
  <c r="EA11" i="20"/>
  <c r="EA10" i="20"/>
  <c r="EA9" i="20"/>
  <c r="EA8" i="20"/>
  <c r="EA7" i="20"/>
  <c r="DO32" i="20"/>
  <c r="DO31" i="20"/>
  <c r="DO30" i="20"/>
  <c r="DO29" i="20"/>
  <c r="DO28" i="20"/>
  <c r="DO27" i="20"/>
  <c r="DO26" i="20"/>
  <c r="DO25" i="20"/>
  <c r="DO24" i="20"/>
  <c r="DO23" i="20"/>
  <c r="DO22" i="20"/>
  <c r="DO21" i="20"/>
  <c r="DO20" i="20"/>
  <c r="DO19" i="20"/>
  <c r="DO18" i="20"/>
  <c r="DO17" i="20"/>
  <c r="DO16" i="20"/>
  <c r="DO15" i="20"/>
  <c r="DO14" i="20"/>
  <c r="DO13" i="20"/>
  <c r="DO12" i="20"/>
  <c r="DO11" i="20"/>
  <c r="DO10" i="20"/>
  <c r="DO9" i="20"/>
  <c r="DO8" i="20"/>
  <c r="DO7" i="20"/>
  <c r="DC32" i="20"/>
  <c r="DC31" i="20"/>
  <c r="DC30" i="20"/>
  <c r="DC29" i="20"/>
  <c r="DC28" i="20"/>
  <c r="DC27" i="20"/>
  <c r="DC26" i="20"/>
  <c r="DC25" i="20"/>
  <c r="DC24" i="20"/>
  <c r="DC23" i="20"/>
  <c r="DC22" i="20"/>
  <c r="DC21" i="20"/>
  <c r="DC20" i="20"/>
  <c r="DC19" i="20"/>
  <c r="DC18" i="20"/>
  <c r="DC17" i="20"/>
  <c r="DC16" i="20"/>
  <c r="DC15" i="20"/>
  <c r="DC14" i="20"/>
  <c r="DC13" i="20"/>
  <c r="DC12" i="20"/>
  <c r="DC11" i="20"/>
  <c r="DC10" i="20"/>
  <c r="DC9" i="20"/>
  <c r="DC8" i="20"/>
  <c r="DC7" i="20"/>
  <c r="CQ32" i="20"/>
  <c r="CQ31" i="20"/>
  <c r="CQ30" i="20"/>
  <c r="CQ29" i="20"/>
  <c r="CQ28" i="20"/>
  <c r="CQ27" i="20"/>
  <c r="CQ26" i="20"/>
  <c r="CQ25" i="20"/>
  <c r="CQ24" i="20"/>
  <c r="CQ23" i="20"/>
  <c r="CQ22" i="20"/>
  <c r="CQ21" i="20"/>
  <c r="CQ20" i="20"/>
  <c r="CQ19" i="20"/>
  <c r="CQ18" i="20"/>
  <c r="CQ17" i="20"/>
  <c r="CQ16" i="20"/>
  <c r="CQ15" i="20"/>
  <c r="CQ14" i="20"/>
  <c r="CQ13" i="20"/>
  <c r="CQ12" i="20"/>
  <c r="CQ11" i="20"/>
  <c r="CQ10" i="20"/>
  <c r="CQ9" i="20"/>
  <c r="CQ8" i="20"/>
  <c r="CQ7" i="20"/>
  <c r="CG36" i="20"/>
  <c r="EU36" i="20" l="1"/>
  <c r="EX36" i="20" s="1"/>
  <c r="EI36" i="20"/>
  <c r="EL36" i="20" s="1"/>
  <c r="DK36" i="20"/>
  <c r="DN36" i="20" s="1"/>
  <c r="DW36" i="20"/>
  <c r="DZ36" i="20" s="1"/>
  <c r="CM36" i="20"/>
  <c r="CY36" i="20"/>
  <c r="DB36" i="20" s="1"/>
  <c r="FA32" i="20"/>
  <c r="FD32" i="20" s="1"/>
  <c r="EZ32" i="20"/>
  <c r="FC32" i="20" s="1"/>
  <c r="FA31" i="20"/>
  <c r="FD31" i="20" s="1"/>
  <c r="FB31" i="20"/>
  <c r="FB30" i="20"/>
  <c r="FA30" i="20"/>
  <c r="FD30" i="20" s="1"/>
  <c r="EZ30" i="20"/>
  <c r="FC30" i="20" s="1"/>
  <c r="FA29" i="20"/>
  <c r="FD29" i="20" s="1"/>
  <c r="FB29" i="20"/>
  <c r="FA28" i="20"/>
  <c r="FD28" i="20" s="1"/>
  <c r="EZ28" i="20"/>
  <c r="FC28" i="20" s="1"/>
  <c r="FA27" i="20"/>
  <c r="FD27" i="20" s="1"/>
  <c r="FB27" i="20"/>
  <c r="FB26" i="20"/>
  <c r="FA26" i="20"/>
  <c r="FD26" i="20" s="1"/>
  <c r="EZ26" i="20"/>
  <c r="FC26" i="20" s="1"/>
  <c r="FA25" i="20"/>
  <c r="FD25" i="20" s="1"/>
  <c r="FB25" i="20"/>
  <c r="FA24" i="20"/>
  <c r="FD24" i="20" s="1"/>
  <c r="EZ24" i="20"/>
  <c r="FC24" i="20" s="1"/>
  <c r="FA23" i="20"/>
  <c r="FD23" i="20" s="1"/>
  <c r="FB23" i="20"/>
  <c r="FB22" i="20"/>
  <c r="FA22" i="20"/>
  <c r="FD22" i="20" s="1"/>
  <c r="EZ22" i="20"/>
  <c r="FC22" i="20" s="1"/>
  <c r="FA21" i="20"/>
  <c r="FD21" i="20" s="1"/>
  <c r="FB21" i="20"/>
  <c r="FA20" i="20"/>
  <c r="FD20" i="20" s="1"/>
  <c r="EZ20" i="20"/>
  <c r="FC20" i="20" s="1"/>
  <c r="FA19" i="20"/>
  <c r="FD19" i="20" s="1"/>
  <c r="FB19" i="20"/>
  <c r="FB18" i="20"/>
  <c r="FA18" i="20"/>
  <c r="FD18" i="20" s="1"/>
  <c r="EZ18" i="20"/>
  <c r="FC18" i="20" s="1"/>
  <c r="FA17" i="20"/>
  <c r="FD17" i="20" s="1"/>
  <c r="FB17" i="20"/>
  <c r="FA16" i="20"/>
  <c r="FD16" i="20" s="1"/>
  <c r="EZ16" i="20"/>
  <c r="FC16" i="20" s="1"/>
  <c r="FA15" i="20"/>
  <c r="FD15" i="20" s="1"/>
  <c r="FB15" i="20"/>
  <c r="FB14" i="20"/>
  <c r="FA14" i="20"/>
  <c r="FD14" i="20" s="1"/>
  <c r="EZ14" i="20"/>
  <c r="FC14" i="20" s="1"/>
  <c r="FA13" i="20"/>
  <c r="FD13" i="20" s="1"/>
  <c r="FB13" i="20"/>
  <c r="FA12" i="20"/>
  <c r="FD12" i="20" s="1"/>
  <c r="EZ12" i="20"/>
  <c r="FC12" i="20" s="1"/>
  <c r="FA11" i="20"/>
  <c r="FD11" i="20" s="1"/>
  <c r="FB11" i="20"/>
  <c r="FB10" i="20"/>
  <c r="FA10" i="20"/>
  <c r="FD10" i="20" s="1"/>
  <c r="EZ10" i="20"/>
  <c r="FC10" i="20" s="1"/>
  <c r="FA9" i="20"/>
  <c r="FD9" i="20" s="1"/>
  <c r="FB9" i="20"/>
  <c r="FA8" i="20"/>
  <c r="FD8" i="20" s="1"/>
  <c r="EZ8" i="20"/>
  <c r="FC8" i="20" s="1"/>
  <c r="FA7" i="20"/>
  <c r="FD7" i="20" s="1"/>
  <c r="FB7" i="20"/>
  <c r="EO32" i="20"/>
  <c r="ER32" i="20" s="1"/>
  <c r="EN32" i="20"/>
  <c r="EQ32" i="20" s="1"/>
  <c r="EP32" i="20"/>
  <c r="EP31" i="20"/>
  <c r="EO31" i="20"/>
  <c r="ER31" i="20" s="1"/>
  <c r="EN31" i="20"/>
  <c r="EQ31" i="20" s="1"/>
  <c r="EO30" i="20"/>
  <c r="ER30" i="20" s="1"/>
  <c r="EN30" i="20"/>
  <c r="EQ30" i="20" s="1"/>
  <c r="EP30" i="20"/>
  <c r="EP29" i="20"/>
  <c r="EO29" i="20"/>
  <c r="ER29" i="20" s="1"/>
  <c r="EN29" i="20"/>
  <c r="EQ29" i="20" s="1"/>
  <c r="EO28" i="20"/>
  <c r="ER28" i="20" s="1"/>
  <c r="EN28" i="20"/>
  <c r="EQ28" i="20" s="1"/>
  <c r="EP28" i="20"/>
  <c r="EP27" i="20"/>
  <c r="EO27" i="20"/>
  <c r="ER27" i="20" s="1"/>
  <c r="EN27" i="20"/>
  <c r="EQ27" i="20" s="1"/>
  <c r="EO26" i="20"/>
  <c r="ER26" i="20" s="1"/>
  <c r="EN26" i="20"/>
  <c r="EQ26" i="20" s="1"/>
  <c r="EP26" i="20"/>
  <c r="EP25" i="20"/>
  <c r="EO25" i="20"/>
  <c r="ER25" i="20" s="1"/>
  <c r="EN25" i="20"/>
  <c r="EQ25" i="20" s="1"/>
  <c r="EO24" i="20"/>
  <c r="ER24" i="20" s="1"/>
  <c r="EN24" i="20"/>
  <c r="EQ24" i="20" s="1"/>
  <c r="EP24" i="20"/>
  <c r="EP23" i="20"/>
  <c r="EO23" i="20"/>
  <c r="ER23" i="20" s="1"/>
  <c r="EN23" i="20"/>
  <c r="EQ23" i="20" s="1"/>
  <c r="EO22" i="20"/>
  <c r="ER22" i="20" s="1"/>
  <c r="EN22" i="20"/>
  <c r="EQ22" i="20" s="1"/>
  <c r="EP22" i="20"/>
  <c r="EP21" i="20"/>
  <c r="EO21" i="20"/>
  <c r="ER21" i="20" s="1"/>
  <c r="EN21" i="20"/>
  <c r="EQ21" i="20" s="1"/>
  <c r="EO20" i="20"/>
  <c r="ER20" i="20" s="1"/>
  <c r="EN20" i="20"/>
  <c r="EQ20" i="20" s="1"/>
  <c r="EP20" i="20"/>
  <c r="EP19" i="20"/>
  <c r="EO19" i="20"/>
  <c r="ER19" i="20" s="1"/>
  <c r="EN19" i="20"/>
  <c r="EQ19" i="20" s="1"/>
  <c r="EO18" i="20"/>
  <c r="ER18" i="20" s="1"/>
  <c r="EN18" i="20"/>
  <c r="EQ18" i="20" s="1"/>
  <c r="EP18" i="20"/>
  <c r="EP17" i="20"/>
  <c r="EO17" i="20"/>
  <c r="ER17" i="20" s="1"/>
  <c r="EN17" i="20"/>
  <c r="EQ17" i="20" s="1"/>
  <c r="EO16" i="20"/>
  <c r="ER16" i="20" s="1"/>
  <c r="EN16" i="20"/>
  <c r="EQ16" i="20" s="1"/>
  <c r="EP16" i="20"/>
  <c r="EP15" i="20"/>
  <c r="EO15" i="20"/>
  <c r="ER15" i="20" s="1"/>
  <c r="EN15" i="20"/>
  <c r="EQ15" i="20" s="1"/>
  <c r="EO14" i="20"/>
  <c r="ER14" i="20" s="1"/>
  <c r="EN14" i="20"/>
  <c r="EQ14" i="20" s="1"/>
  <c r="EP14" i="20"/>
  <c r="EP13" i="20"/>
  <c r="EO13" i="20"/>
  <c r="ER13" i="20" s="1"/>
  <c r="EN13" i="20"/>
  <c r="EQ13" i="20" s="1"/>
  <c r="EO12" i="20"/>
  <c r="ER12" i="20" s="1"/>
  <c r="EN12" i="20"/>
  <c r="EQ12" i="20" s="1"/>
  <c r="EP12" i="20"/>
  <c r="EP11" i="20"/>
  <c r="EO11" i="20"/>
  <c r="ER11" i="20" s="1"/>
  <c r="EN11" i="20"/>
  <c r="EQ11" i="20" s="1"/>
  <c r="EO10" i="20"/>
  <c r="ER10" i="20" s="1"/>
  <c r="EN10" i="20"/>
  <c r="EQ10" i="20" s="1"/>
  <c r="EP10" i="20"/>
  <c r="EP9" i="20"/>
  <c r="EO9" i="20"/>
  <c r="ER9" i="20" s="1"/>
  <c r="EN9" i="20"/>
  <c r="EQ9" i="20" s="1"/>
  <c r="EO8" i="20"/>
  <c r="ER8" i="20" s="1"/>
  <c r="EN8" i="20"/>
  <c r="EQ8" i="20" s="1"/>
  <c r="EP8" i="20"/>
  <c r="EP7" i="20"/>
  <c r="EO7" i="20"/>
  <c r="ER7" i="20" s="1"/>
  <c r="EN7" i="20"/>
  <c r="EQ7" i="20" s="1"/>
  <c r="ED32" i="20"/>
  <c r="EC32" i="20"/>
  <c r="EF32" i="20" s="1"/>
  <c r="EB32" i="20"/>
  <c r="EE32" i="20" s="1"/>
  <c r="EC31" i="20"/>
  <c r="EF31" i="20" s="1"/>
  <c r="ED31" i="20"/>
  <c r="ED30" i="20"/>
  <c r="EC30" i="20"/>
  <c r="EF30" i="20" s="1"/>
  <c r="EB30" i="20"/>
  <c r="EE30" i="20" s="1"/>
  <c r="EC29" i="20"/>
  <c r="EF29" i="20" s="1"/>
  <c r="ED29" i="20"/>
  <c r="ED28" i="20"/>
  <c r="EC28" i="20"/>
  <c r="EF28" i="20" s="1"/>
  <c r="EB28" i="20"/>
  <c r="EE28" i="20" s="1"/>
  <c r="EC27" i="20"/>
  <c r="EF27" i="20" s="1"/>
  <c r="ED27" i="20"/>
  <c r="ED26" i="20"/>
  <c r="EC26" i="20"/>
  <c r="EF26" i="20" s="1"/>
  <c r="EB26" i="20"/>
  <c r="EE26" i="20" s="1"/>
  <c r="EC25" i="20"/>
  <c r="EF25" i="20" s="1"/>
  <c r="ED25" i="20"/>
  <c r="ED24" i="20"/>
  <c r="EC24" i="20"/>
  <c r="EF24" i="20" s="1"/>
  <c r="EB24" i="20"/>
  <c r="EE24" i="20" s="1"/>
  <c r="EC23" i="20"/>
  <c r="EF23" i="20" s="1"/>
  <c r="ED23" i="20"/>
  <c r="ED22" i="20"/>
  <c r="EC22" i="20"/>
  <c r="EF22" i="20" s="1"/>
  <c r="EB22" i="20"/>
  <c r="EE22" i="20" s="1"/>
  <c r="EC21" i="20"/>
  <c r="EF21" i="20" s="1"/>
  <c r="ED21" i="20"/>
  <c r="ED20" i="20"/>
  <c r="EC20" i="20"/>
  <c r="EF20" i="20" s="1"/>
  <c r="EB20" i="20"/>
  <c r="EE20" i="20" s="1"/>
  <c r="EC19" i="20"/>
  <c r="EF19" i="20" s="1"/>
  <c r="ED19" i="20"/>
  <c r="ED18" i="20"/>
  <c r="EC18" i="20"/>
  <c r="EF18" i="20" s="1"/>
  <c r="EB18" i="20"/>
  <c r="EE18" i="20" s="1"/>
  <c r="EC17" i="20"/>
  <c r="EF17" i="20" s="1"/>
  <c r="ED17" i="20"/>
  <c r="ED16" i="20"/>
  <c r="EC16" i="20"/>
  <c r="EF16" i="20" s="1"/>
  <c r="EB16" i="20"/>
  <c r="EE16" i="20" s="1"/>
  <c r="EC15" i="20"/>
  <c r="EF15" i="20" s="1"/>
  <c r="ED15" i="20"/>
  <c r="ED14" i="20"/>
  <c r="EC14" i="20"/>
  <c r="EF14" i="20" s="1"/>
  <c r="EB14" i="20"/>
  <c r="EE14" i="20" s="1"/>
  <c r="EC13" i="20"/>
  <c r="EF13" i="20" s="1"/>
  <c r="ED13" i="20"/>
  <c r="ED12" i="20"/>
  <c r="EC12" i="20"/>
  <c r="EF12" i="20" s="1"/>
  <c r="EB12" i="20"/>
  <c r="EE12" i="20" s="1"/>
  <c r="EC11" i="20"/>
  <c r="EF11" i="20" s="1"/>
  <c r="ED11" i="20"/>
  <c r="ED10" i="20"/>
  <c r="EC10" i="20"/>
  <c r="EF10" i="20" s="1"/>
  <c r="EB10" i="20"/>
  <c r="EE10" i="20" s="1"/>
  <c r="EC9" i="20"/>
  <c r="EF9" i="20" s="1"/>
  <c r="ED8" i="20"/>
  <c r="EC8" i="20"/>
  <c r="EF8" i="20" s="1"/>
  <c r="EB8" i="20"/>
  <c r="EE8" i="20" s="1"/>
  <c r="EC7" i="20"/>
  <c r="EF7" i="20" s="1"/>
  <c r="DQ32" i="20"/>
  <c r="DT32" i="20" s="1"/>
  <c r="DP32" i="20"/>
  <c r="DS32" i="20" s="1"/>
  <c r="DQ31" i="20"/>
  <c r="DT31" i="20" s="1"/>
  <c r="DR31" i="20"/>
  <c r="DQ30" i="20"/>
  <c r="DT30" i="20" s="1"/>
  <c r="DP30" i="20"/>
  <c r="DS30" i="20" s="1"/>
  <c r="DQ29" i="20"/>
  <c r="DT29" i="20" s="1"/>
  <c r="DR29" i="20"/>
  <c r="DQ28" i="20"/>
  <c r="DT28" i="20" s="1"/>
  <c r="DP28" i="20"/>
  <c r="DS28" i="20" s="1"/>
  <c r="DQ27" i="20"/>
  <c r="DT27" i="20" s="1"/>
  <c r="DR27" i="20"/>
  <c r="DQ26" i="20"/>
  <c r="DT26" i="20" s="1"/>
  <c r="DP26" i="20"/>
  <c r="DS26" i="20" s="1"/>
  <c r="DQ25" i="20"/>
  <c r="DT25" i="20" s="1"/>
  <c r="DR25" i="20"/>
  <c r="DQ24" i="20"/>
  <c r="DT24" i="20" s="1"/>
  <c r="DP24" i="20"/>
  <c r="DS24" i="20" s="1"/>
  <c r="DQ23" i="20"/>
  <c r="DT23" i="20" s="1"/>
  <c r="DR23" i="20"/>
  <c r="DQ22" i="20"/>
  <c r="DT22" i="20" s="1"/>
  <c r="DP22" i="20"/>
  <c r="DS22" i="20" s="1"/>
  <c r="DQ21" i="20"/>
  <c r="DT21" i="20" s="1"/>
  <c r="DR21" i="20"/>
  <c r="DQ20" i="20"/>
  <c r="DT20" i="20" s="1"/>
  <c r="DP20" i="20"/>
  <c r="DS20" i="20" s="1"/>
  <c r="DQ19" i="20"/>
  <c r="DT19" i="20" s="1"/>
  <c r="DR19" i="20"/>
  <c r="DQ18" i="20"/>
  <c r="DT18" i="20" s="1"/>
  <c r="DP18" i="20"/>
  <c r="DS18" i="20" s="1"/>
  <c r="DQ17" i="20"/>
  <c r="DT17" i="20" s="1"/>
  <c r="DR17" i="20"/>
  <c r="DQ16" i="20"/>
  <c r="DT16" i="20" s="1"/>
  <c r="DP16" i="20"/>
  <c r="DS16" i="20" s="1"/>
  <c r="DQ15" i="20"/>
  <c r="DT15" i="20" s="1"/>
  <c r="DR15" i="20"/>
  <c r="DQ14" i="20"/>
  <c r="DT14" i="20" s="1"/>
  <c r="DP14" i="20"/>
  <c r="DS14" i="20" s="1"/>
  <c r="DQ13" i="20"/>
  <c r="DT13" i="20" s="1"/>
  <c r="DR13" i="20"/>
  <c r="DQ12" i="20"/>
  <c r="DT12" i="20" s="1"/>
  <c r="DP12" i="20"/>
  <c r="DS12" i="20" s="1"/>
  <c r="DQ11" i="20"/>
  <c r="DT11" i="20" s="1"/>
  <c r="DR11" i="20"/>
  <c r="DQ10" i="20"/>
  <c r="DT10" i="20" s="1"/>
  <c r="DP10" i="20"/>
  <c r="DS10" i="20" s="1"/>
  <c r="DQ9" i="20"/>
  <c r="DT9" i="20" s="1"/>
  <c r="DR9" i="20"/>
  <c r="DQ8" i="20"/>
  <c r="DT8" i="20" s="1"/>
  <c r="DP8" i="20"/>
  <c r="DS8" i="20" s="1"/>
  <c r="DQ7" i="20"/>
  <c r="DT7" i="20" s="1"/>
  <c r="DR7" i="20"/>
  <c r="DE32" i="20"/>
  <c r="DH32" i="20" s="1"/>
  <c r="DD32" i="20"/>
  <c r="DG32" i="20" s="1"/>
  <c r="DE31" i="20"/>
  <c r="DH31" i="20" s="1"/>
  <c r="DF31" i="20"/>
  <c r="DE30" i="20"/>
  <c r="DH30" i="20" s="1"/>
  <c r="DD30" i="20"/>
  <c r="DG30" i="20" s="1"/>
  <c r="DE29" i="20"/>
  <c r="DH29" i="20" s="1"/>
  <c r="DF29" i="20"/>
  <c r="DE28" i="20"/>
  <c r="DH28" i="20" s="1"/>
  <c r="DD28" i="20"/>
  <c r="DG28" i="20" s="1"/>
  <c r="DE27" i="20"/>
  <c r="DH27" i="20" s="1"/>
  <c r="DF27" i="20"/>
  <c r="DE26" i="20"/>
  <c r="DH26" i="20" s="1"/>
  <c r="DD26" i="20"/>
  <c r="DG26" i="20" s="1"/>
  <c r="DE25" i="20"/>
  <c r="DH25" i="20" s="1"/>
  <c r="DF25" i="20"/>
  <c r="DE24" i="20"/>
  <c r="DH24" i="20" s="1"/>
  <c r="DD24" i="20"/>
  <c r="DG24" i="20" s="1"/>
  <c r="DE23" i="20"/>
  <c r="DH23" i="20" s="1"/>
  <c r="DF23" i="20"/>
  <c r="DE22" i="20"/>
  <c r="DH22" i="20" s="1"/>
  <c r="DD22" i="20"/>
  <c r="DG22" i="20" s="1"/>
  <c r="DE21" i="20"/>
  <c r="DH21" i="20" s="1"/>
  <c r="DF21" i="20"/>
  <c r="DE20" i="20"/>
  <c r="DH20" i="20" s="1"/>
  <c r="DD20" i="20"/>
  <c r="DG20" i="20" s="1"/>
  <c r="DE19" i="20"/>
  <c r="DH19" i="20" s="1"/>
  <c r="DF19" i="20"/>
  <c r="DE18" i="20"/>
  <c r="DH18" i="20" s="1"/>
  <c r="DD18" i="20"/>
  <c r="DG18" i="20" s="1"/>
  <c r="DE17" i="20"/>
  <c r="DH17" i="20" s="1"/>
  <c r="DF17" i="20"/>
  <c r="DE16" i="20"/>
  <c r="DH16" i="20" s="1"/>
  <c r="DD16" i="20"/>
  <c r="DG16" i="20" s="1"/>
  <c r="DE15" i="20"/>
  <c r="DH15" i="20" s="1"/>
  <c r="DF15" i="20"/>
  <c r="DE14" i="20"/>
  <c r="DH14" i="20" s="1"/>
  <c r="DD14" i="20"/>
  <c r="DG14" i="20" s="1"/>
  <c r="DE13" i="20"/>
  <c r="DH13" i="20" s="1"/>
  <c r="DF13" i="20"/>
  <c r="DE12" i="20"/>
  <c r="DH12" i="20" s="1"/>
  <c r="DD12" i="20"/>
  <c r="DG12" i="20" s="1"/>
  <c r="DE11" i="20"/>
  <c r="DH11" i="20" s="1"/>
  <c r="DF11" i="20"/>
  <c r="DE10" i="20"/>
  <c r="DH10" i="20" s="1"/>
  <c r="DD10" i="20"/>
  <c r="DG10" i="20" s="1"/>
  <c r="DE9" i="20"/>
  <c r="DH9" i="20" s="1"/>
  <c r="DF9" i="20"/>
  <c r="DE8" i="20"/>
  <c r="DH8" i="20" s="1"/>
  <c r="DD8" i="20"/>
  <c r="DG8" i="20" s="1"/>
  <c r="DE7" i="20"/>
  <c r="DH7" i="20" s="1"/>
  <c r="DF7" i="20"/>
  <c r="CS32" i="20"/>
  <c r="CV32" i="20" s="1"/>
  <c r="CT32" i="20"/>
  <c r="CT31" i="20"/>
  <c r="CS31" i="20"/>
  <c r="CV31" i="20" s="1"/>
  <c r="CR31" i="20"/>
  <c r="CU31" i="20" s="1"/>
  <c r="CS30" i="20"/>
  <c r="CV30" i="20" s="1"/>
  <c r="CT30" i="20"/>
  <c r="CT29" i="20"/>
  <c r="CS29" i="20"/>
  <c r="CV29" i="20" s="1"/>
  <c r="CR29" i="20"/>
  <c r="CU29" i="20" s="1"/>
  <c r="CS28" i="20"/>
  <c r="CV28" i="20" s="1"/>
  <c r="CT28" i="20"/>
  <c r="CT27" i="20"/>
  <c r="CS27" i="20"/>
  <c r="CV27" i="20" s="1"/>
  <c r="CR27" i="20"/>
  <c r="CU27" i="20" s="1"/>
  <c r="CS26" i="20"/>
  <c r="CV26" i="20" s="1"/>
  <c r="CT26" i="20"/>
  <c r="CT25" i="20"/>
  <c r="CS25" i="20"/>
  <c r="CV25" i="20" s="1"/>
  <c r="CR25" i="20"/>
  <c r="CU25" i="20" s="1"/>
  <c r="CS24" i="20"/>
  <c r="CV24" i="20" s="1"/>
  <c r="CT24" i="20"/>
  <c r="CT23" i="20"/>
  <c r="CS23" i="20"/>
  <c r="CV23" i="20" s="1"/>
  <c r="CR23" i="20"/>
  <c r="CU23" i="20" s="1"/>
  <c r="CS22" i="20"/>
  <c r="CV22" i="20" s="1"/>
  <c r="CT22" i="20"/>
  <c r="CT21" i="20"/>
  <c r="CS21" i="20"/>
  <c r="CV21" i="20" s="1"/>
  <c r="CR21" i="20"/>
  <c r="CU21" i="20" s="1"/>
  <c r="CS20" i="20"/>
  <c r="CV20" i="20" s="1"/>
  <c r="CT20" i="20"/>
  <c r="CT19" i="20"/>
  <c r="CS19" i="20"/>
  <c r="CV19" i="20" s="1"/>
  <c r="CR19" i="20"/>
  <c r="CU19" i="20" s="1"/>
  <c r="CS18" i="20"/>
  <c r="CV18" i="20" s="1"/>
  <c r="CT18" i="20"/>
  <c r="CT17" i="20"/>
  <c r="CS17" i="20"/>
  <c r="CV17" i="20" s="1"/>
  <c r="CR17" i="20"/>
  <c r="CU17" i="20" s="1"/>
  <c r="CS16" i="20"/>
  <c r="CV16" i="20" s="1"/>
  <c r="CT16" i="20"/>
  <c r="CT15" i="20"/>
  <c r="CS15" i="20"/>
  <c r="CV15" i="20" s="1"/>
  <c r="CR15" i="20"/>
  <c r="CU15" i="20" s="1"/>
  <c r="CS14" i="20"/>
  <c r="CV14" i="20" s="1"/>
  <c r="CT14" i="20"/>
  <c r="CT13" i="20"/>
  <c r="CS13" i="20"/>
  <c r="CV13" i="20" s="1"/>
  <c r="CR13" i="20"/>
  <c r="CU13" i="20" s="1"/>
  <c r="CS12" i="20"/>
  <c r="CV12" i="20" s="1"/>
  <c r="CT12" i="20"/>
  <c r="CT11" i="20"/>
  <c r="CS11" i="20"/>
  <c r="CV11" i="20" s="1"/>
  <c r="CR11" i="20"/>
  <c r="CU11" i="20" s="1"/>
  <c r="CS10" i="20"/>
  <c r="CV10" i="20" s="1"/>
  <c r="CT10" i="20"/>
  <c r="CT9" i="20"/>
  <c r="CS9" i="20"/>
  <c r="CV9" i="20" s="1"/>
  <c r="CR9" i="20"/>
  <c r="CU9" i="20" s="1"/>
  <c r="CS8" i="20"/>
  <c r="CV8" i="20" s="1"/>
  <c r="CT7" i="20"/>
  <c r="CS7" i="20"/>
  <c r="CV7" i="20" s="1"/>
  <c r="CR7" i="20"/>
  <c r="CU7" i="20" s="1"/>
  <c r="CM32" i="20"/>
  <c r="CP32" i="20" s="1"/>
  <c r="CK32" i="20"/>
  <c r="CN32" i="20" s="1"/>
  <c r="CM31" i="20"/>
  <c r="CP31" i="20" s="1"/>
  <c r="CK31" i="20"/>
  <c r="CL31" i="20" s="1"/>
  <c r="CO31" i="20" s="1"/>
  <c r="CM30" i="20"/>
  <c r="CP30" i="20" s="1"/>
  <c r="CK30" i="20"/>
  <c r="CN30" i="20" s="1"/>
  <c r="CM29" i="20"/>
  <c r="CP29" i="20" s="1"/>
  <c r="CK29" i="20"/>
  <c r="CL29" i="20" s="1"/>
  <c r="CO29" i="20" s="1"/>
  <c r="CM28" i="20"/>
  <c r="CP28" i="20" s="1"/>
  <c r="CK28" i="20"/>
  <c r="CN28" i="20" s="1"/>
  <c r="CM27" i="20"/>
  <c r="CP27" i="20" s="1"/>
  <c r="CK27" i="20"/>
  <c r="CL27" i="20" s="1"/>
  <c r="CO27" i="20" s="1"/>
  <c r="CM26" i="20"/>
  <c r="CP26" i="20" s="1"/>
  <c r="CK26" i="20"/>
  <c r="CN26" i="20" s="1"/>
  <c r="CM25" i="20"/>
  <c r="CP25" i="20" s="1"/>
  <c r="CK25" i="20"/>
  <c r="CL25" i="20" s="1"/>
  <c r="CO25" i="20" s="1"/>
  <c r="CM24" i="20"/>
  <c r="CP24" i="20" s="1"/>
  <c r="CK24" i="20"/>
  <c r="CN24" i="20" s="1"/>
  <c r="CM23" i="20"/>
  <c r="CP23" i="20" s="1"/>
  <c r="CK23" i="20"/>
  <c r="CL23" i="20" s="1"/>
  <c r="CO23" i="20" s="1"/>
  <c r="CM22" i="20"/>
  <c r="CP22" i="20" s="1"/>
  <c r="CK22" i="20"/>
  <c r="CN22" i="20" s="1"/>
  <c r="CM21" i="20"/>
  <c r="CP21" i="20" s="1"/>
  <c r="CK21" i="20"/>
  <c r="CL21" i="20" s="1"/>
  <c r="CO21" i="20" s="1"/>
  <c r="CM20" i="20"/>
  <c r="CP20" i="20" s="1"/>
  <c r="CK20" i="20"/>
  <c r="CN20" i="20" s="1"/>
  <c r="CM19" i="20"/>
  <c r="CP19" i="20" s="1"/>
  <c r="CK19" i="20"/>
  <c r="CL19" i="20" s="1"/>
  <c r="CO19" i="20" s="1"/>
  <c r="CM18" i="20"/>
  <c r="CP18" i="20" s="1"/>
  <c r="CK18" i="20"/>
  <c r="CN18" i="20" s="1"/>
  <c r="CM17" i="20"/>
  <c r="CP17" i="20" s="1"/>
  <c r="CK17" i="20"/>
  <c r="CL17" i="20" s="1"/>
  <c r="CO17" i="20" s="1"/>
  <c r="CM16" i="20"/>
  <c r="CP16" i="20" s="1"/>
  <c r="CK16" i="20"/>
  <c r="CN16" i="20" s="1"/>
  <c r="CM15" i="20"/>
  <c r="CP15" i="20" s="1"/>
  <c r="CK15" i="20"/>
  <c r="CL15" i="20" s="1"/>
  <c r="CO15" i="20" s="1"/>
  <c r="CM14" i="20"/>
  <c r="CP14" i="20" s="1"/>
  <c r="CK14" i="20"/>
  <c r="CN14" i="20" s="1"/>
  <c r="CM13" i="20"/>
  <c r="CP13" i="20" s="1"/>
  <c r="CK13" i="20"/>
  <c r="CL13" i="20" s="1"/>
  <c r="CO13" i="20" s="1"/>
  <c r="CM12" i="20"/>
  <c r="CP12" i="20" s="1"/>
  <c r="CK12" i="20"/>
  <c r="CN12" i="20" s="1"/>
  <c r="CM11" i="20"/>
  <c r="CP11" i="20" s="1"/>
  <c r="CK11" i="20"/>
  <c r="CL11" i="20" s="1"/>
  <c r="CO11" i="20" s="1"/>
  <c r="CM10" i="20"/>
  <c r="CP10" i="20" s="1"/>
  <c r="CK10" i="20"/>
  <c r="CN10" i="20" s="1"/>
  <c r="CM9" i="20"/>
  <c r="CP9" i="20" s="1"/>
  <c r="CK9" i="20"/>
  <c r="CL9" i="20" s="1"/>
  <c r="CO9" i="20" s="1"/>
  <c r="CM8" i="20"/>
  <c r="CP8" i="20" s="1"/>
  <c r="CK8" i="20"/>
  <c r="CM7" i="20"/>
  <c r="CP7" i="20" s="1"/>
  <c r="CK7" i="20"/>
  <c r="CL7" i="20" s="1"/>
  <c r="CO7" i="20" s="1"/>
  <c r="EZ37" i="20"/>
  <c r="FC37" i="20" s="1"/>
  <c r="EN37" i="20"/>
  <c r="EQ37" i="20" s="1"/>
  <c r="EB37" i="20"/>
  <c r="EE37" i="20" s="1"/>
  <c r="DP37" i="20"/>
  <c r="DS37" i="20" s="1"/>
  <c r="DD37" i="20"/>
  <c r="DG37" i="20" s="1"/>
  <c r="CR37" i="20"/>
  <c r="CU37" i="20" s="1"/>
  <c r="CL37" i="20"/>
  <c r="CO37" i="20" s="1"/>
  <c r="CF37" i="20"/>
  <c r="CI37" i="20" s="1"/>
  <c r="CE32" i="20"/>
  <c r="CF32" i="20" s="1"/>
  <c r="CI32" i="20" s="1"/>
  <c r="CG32" i="20"/>
  <c r="CJ32" i="20" s="1"/>
  <c r="CH36" i="20"/>
  <c r="CJ36" i="20"/>
  <c r="CC36" i="20"/>
  <c r="CB36" i="20"/>
  <c r="BY36" i="20"/>
  <c r="BX36" i="20"/>
  <c r="BU36" i="20"/>
  <c r="BT36" i="20"/>
  <c r="BQ36" i="20"/>
  <c r="BP36" i="20"/>
  <c r="BM36" i="20"/>
  <c r="BL36" i="20"/>
  <c r="BI36" i="20"/>
  <c r="BH36" i="20"/>
  <c r="BE36" i="20"/>
  <c r="BD36" i="20"/>
  <c r="BA36" i="20"/>
  <c r="AZ36" i="20"/>
  <c r="AS36" i="20"/>
  <c r="AR36" i="20"/>
  <c r="CN21" i="20" l="1"/>
  <c r="CN13" i="20"/>
  <c r="CN29" i="20"/>
  <c r="CN9" i="20"/>
  <c r="CN17" i="20"/>
  <c r="CN25" i="20"/>
  <c r="CH32" i="20"/>
  <c r="CN7" i="20"/>
  <c r="CN11" i="20"/>
  <c r="CN15" i="20"/>
  <c r="CN19" i="20"/>
  <c r="CN23" i="20"/>
  <c r="CN27" i="20"/>
  <c r="CN31" i="20"/>
  <c r="FB8" i="20"/>
  <c r="FB12" i="20"/>
  <c r="FB16" i="20"/>
  <c r="FB20" i="20"/>
  <c r="FB24" i="20"/>
  <c r="FB28" i="20"/>
  <c r="FB32" i="20"/>
  <c r="EZ23" i="20"/>
  <c r="FC23" i="20" s="1"/>
  <c r="EZ27" i="20"/>
  <c r="FC27" i="20" s="1"/>
  <c r="EZ29" i="20"/>
  <c r="FC29" i="20" s="1"/>
  <c r="EZ31" i="20"/>
  <c r="FC31" i="20" s="1"/>
  <c r="EZ7" i="20"/>
  <c r="FC7" i="20" s="1"/>
  <c r="EZ9" i="20"/>
  <c r="FC9" i="20" s="1"/>
  <c r="EZ11" i="20"/>
  <c r="FC11" i="20" s="1"/>
  <c r="EZ13" i="20"/>
  <c r="FC13" i="20" s="1"/>
  <c r="EZ15" i="20"/>
  <c r="FC15" i="20" s="1"/>
  <c r="EZ17" i="20"/>
  <c r="FC17" i="20" s="1"/>
  <c r="EZ19" i="20"/>
  <c r="FC19" i="20" s="1"/>
  <c r="EZ21" i="20"/>
  <c r="FC21" i="20" s="1"/>
  <c r="EZ25" i="20"/>
  <c r="FC25" i="20" s="1"/>
  <c r="ED9" i="20"/>
  <c r="EB9" i="20"/>
  <c r="EE9" i="20" s="1"/>
  <c r="ED7" i="20"/>
  <c r="EB7" i="20"/>
  <c r="EE7" i="20" s="1"/>
  <c r="EB11" i="20"/>
  <c r="EE11" i="20" s="1"/>
  <c r="EB13" i="20"/>
  <c r="EE13" i="20" s="1"/>
  <c r="EB15" i="20"/>
  <c r="EE15" i="20" s="1"/>
  <c r="EB17" i="20"/>
  <c r="EE17" i="20" s="1"/>
  <c r="EB19" i="20"/>
  <c r="EE19" i="20" s="1"/>
  <c r="EB21" i="20"/>
  <c r="EE21" i="20" s="1"/>
  <c r="EB23" i="20"/>
  <c r="EE23" i="20" s="1"/>
  <c r="EB25" i="20"/>
  <c r="EE25" i="20" s="1"/>
  <c r="EB27" i="20"/>
  <c r="EE27" i="20" s="1"/>
  <c r="EB29" i="20"/>
  <c r="EE29" i="20" s="1"/>
  <c r="EB31" i="20"/>
  <c r="EE31" i="20" s="1"/>
  <c r="DP7" i="20"/>
  <c r="DS7" i="20" s="1"/>
  <c r="DR8" i="20"/>
  <c r="DP9" i="20"/>
  <c r="DS9" i="20" s="1"/>
  <c r="DR10" i="20"/>
  <c r="DP11" i="20"/>
  <c r="DS11" i="20" s="1"/>
  <c r="DR12" i="20"/>
  <c r="DP13" i="20"/>
  <c r="DS13" i="20" s="1"/>
  <c r="DR14" i="20"/>
  <c r="DP15" i="20"/>
  <c r="DS15" i="20" s="1"/>
  <c r="DR16" i="20"/>
  <c r="DP17" i="20"/>
  <c r="DS17" i="20" s="1"/>
  <c r="DR18" i="20"/>
  <c r="DP19" i="20"/>
  <c r="DS19" i="20" s="1"/>
  <c r="DR20" i="20"/>
  <c r="DP21" i="20"/>
  <c r="DS21" i="20" s="1"/>
  <c r="DR22" i="20"/>
  <c r="DP23" i="20"/>
  <c r="DS23" i="20" s="1"/>
  <c r="DR24" i="20"/>
  <c r="DP25" i="20"/>
  <c r="DS25" i="20" s="1"/>
  <c r="DR26" i="20"/>
  <c r="DP27" i="20"/>
  <c r="DS27" i="20" s="1"/>
  <c r="DR28" i="20"/>
  <c r="DP29" i="20"/>
  <c r="DS29" i="20" s="1"/>
  <c r="DR30" i="20"/>
  <c r="DP31" i="20"/>
  <c r="DS31" i="20" s="1"/>
  <c r="DR32" i="20"/>
  <c r="DD7" i="20"/>
  <c r="DG7" i="20" s="1"/>
  <c r="DF8" i="20"/>
  <c r="DD9" i="20"/>
  <c r="DG9" i="20" s="1"/>
  <c r="DF10" i="20"/>
  <c r="DD11" i="20"/>
  <c r="DG11" i="20" s="1"/>
  <c r="DF12" i="20"/>
  <c r="DD13" i="20"/>
  <c r="DG13" i="20" s="1"/>
  <c r="DF14" i="20"/>
  <c r="DD15" i="20"/>
  <c r="DG15" i="20" s="1"/>
  <c r="DF16" i="20"/>
  <c r="DD17" i="20"/>
  <c r="DG17" i="20" s="1"/>
  <c r="DF18" i="20"/>
  <c r="DD19" i="20"/>
  <c r="DG19" i="20" s="1"/>
  <c r="DF20" i="20"/>
  <c r="DD21" i="20"/>
  <c r="DG21" i="20" s="1"/>
  <c r="DF22" i="20"/>
  <c r="DD23" i="20"/>
  <c r="DG23" i="20" s="1"/>
  <c r="DF24" i="20"/>
  <c r="DD25" i="20"/>
  <c r="DG25" i="20" s="1"/>
  <c r="DF26" i="20"/>
  <c r="DD27" i="20"/>
  <c r="DG27" i="20" s="1"/>
  <c r="DF28" i="20"/>
  <c r="DD29" i="20"/>
  <c r="DG29" i="20" s="1"/>
  <c r="DF30" i="20"/>
  <c r="DD31" i="20"/>
  <c r="DG31" i="20" s="1"/>
  <c r="DF32" i="20"/>
  <c r="CT8" i="20"/>
  <c r="CR8" i="20"/>
  <c r="CU8" i="20" s="1"/>
  <c r="CR10" i="20"/>
  <c r="CU10" i="20" s="1"/>
  <c r="CR12" i="20"/>
  <c r="CU12" i="20" s="1"/>
  <c r="CR14" i="20"/>
  <c r="CU14" i="20" s="1"/>
  <c r="CR16" i="20"/>
  <c r="CU16" i="20" s="1"/>
  <c r="CR18" i="20"/>
  <c r="CU18" i="20" s="1"/>
  <c r="CR20" i="20"/>
  <c r="CU20" i="20" s="1"/>
  <c r="CR22" i="20"/>
  <c r="CU22" i="20" s="1"/>
  <c r="CR24" i="20"/>
  <c r="CU24" i="20" s="1"/>
  <c r="CR26" i="20"/>
  <c r="CU26" i="20" s="1"/>
  <c r="CR28" i="20"/>
  <c r="CU28" i="20" s="1"/>
  <c r="CR30" i="20"/>
  <c r="CU30" i="20" s="1"/>
  <c r="CR32" i="20"/>
  <c r="CU32" i="20" s="1"/>
  <c r="CN8" i="20"/>
  <c r="CL8" i="20"/>
  <c r="CO8" i="20" s="1"/>
  <c r="CL10" i="20"/>
  <c r="CO10" i="20" s="1"/>
  <c r="CL12" i="20"/>
  <c r="CO12" i="20" s="1"/>
  <c r="CL14" i="20"/>
  <c r="CO14" i="20" s="1"/>
  <c r="CL16" i="20"/>
  <c r="CO16" i="20" s="1"/>
  <c r="CL18" i="20"/>
  <c r="CO18" i="20" s="1"/>
  <c r="CL20" i="20"/>
  <c r="CO20" i="20" s="1"/>
  <c r="CL22" i="20"/>
  <c r="CO22" i="20" s="1"/>
  <c r="CL24" i="20"/>
  <c r="CO24" i="20" s="1"/>
  <c r="CL26" i="20"/>
  <c r="CO26" i="20" s="1"/>
  <c r="CL28" i="20"/>
  <c r="CO28" i="20" s="1"/>
  <c r="CL30" i="20"/>
  <c r="CO30" i="20" s="1"/>
  <c r="CL32" i="20"/>
  <c r="CO32" i="20" s="1"/>
  <c r="BX37" i="20"/>
  <c r="BY37" i="20"/>
  <c r="K5" i="15"/>
  <c r="K6" i="15" s="1"/>
  <c r="K7" i="15" s="1"/>
  <c r="K8" i="15" s="1"/>
  <c r="K9" i="15" s="1"/>
  <c r="K10" i="15" s="1"/>
  <c r="K11" i="15" s="1"/>
  <c r="K12" i="15" s="1"/>
  <c r="K13" i="15" s="1"/>
  <c r="K14" i="15" s="1"/>
  <c r="K15" i="15" s="1"/>
  <c r="K16" i="15" s="1"/>
  <c r="K17" i="15" s="1"/>
  <c r="K18" i="15" s="1"/>
  <c r="K19" i="15" s="1"/>
  <c r="K20" i="15" s="1"/>
  <c r="K21" i="15" s="1"/>
  <c r="K22" i="15" s="1"/>
  <c r="K23" i="15" s="1"/>
  <c r="K24" i="15" s="1"/>
  <c r="K25" i="15" s="1"/>
  <c r="K26" i="15" s="1"/>
  <c r="K27" i="15" s="1"/>
  <c r="K28" i="15" s="1"/>
  <c r="K29" i="15" s="1"/>
  <c r="K30" i="15" s="1"/>
  <c r="K31" i="15" s="1"/>
  <c r="K32" i="15" s="1"/>
  <c r="K33" i="15" s="1"/>
  <c r="K34" i="15" s="1"/>
  <c r="K35" i="15" s="1"/>
  <c r="K36" i="15" s="1"/>
  <c r="K37" i="15" s="1"/>
  <c r="K38" i="15" s="1"/>
  <c r="K39" i="15" s="1"/>
  <c r="K40" i="15" s="1"/>
  <c r="K41" i="15" s="1"/>
  <c r="K42" i="15" s="1"/>
  <c r="K43" i="15" s="1"/>
  <c r="K44" i="15" s="1"/>
  <c r="K45" i="15" s="1"/>
  <c r="K46" i="15" s="1"/>
  <c r="DH36" i="20"/>
  <c r="DF36" i="20"/>
  <c r="CV36" i="20"/>
  <c r="CT36" i="20"/>
  <c r="CP36" i="20"/>
  <c r="CN36" i="20"/>
  <c r="CG31" i="20"/>
  <c r="CJ31" i="20" s="1"/>
  <c r="CE31" i="20"/>
  <c r="CG30" i="20"/>
  <c r="CJ30" i="20" s="1"/>
  <c r="CE30" i="20"/>
  <c r="CG29" i="20"/>
  <c r="CJ29" i="20" s="1"/>
  <c r="CE29" i="20"/>
  <c r="CG28" i="20"/>
  <c r="CJ28" i="20" s="1"/>
  <c r="CE28" i="20"/>
  <c r="CG27" i="20"/>
  <c r="CJ27" i="20" s="1"/>
  <c r="CE27" i="20"/>
  <c r="CG26" i="20"/>
  <c r="CJ26" i="20" s="1"/>
  <c r="CE26" i="20"/>
  <c r="CG25" i="20"/>
  <c r="CJ25" i="20" s="1"/>
  <c r="CE25" i="20"/>
  <c r="CG24" i="20"/>
  <c r="CJ24" i="20" s="1"/>
  <c r="CE24" i="20"/>
  <c r="CG23" i="20"/>
  <c r="CJ23" i="20" s="1"/>
  <c r="CE23" i="20"/>
  <c r="CG22" i="20"/>
  <c r="CJ22" i="20" s="1"/>
  <c r="CE22" i="20"/>
  <c r="CG21" i="20"/>
  <c r="CJ21" i="20" s="1"/>
  <c r="CE21" i="20"/>
  <c r="CG20" i="20"/>
  <c r="CJ20" i="20" s="1"/>
  <c r="CE20" i="20"/>
  <c r="CG19" i="20"/>
  <c r="CJ19" i="20" s="1"/>
  <c r="CE19" i="20"/>
  <c r="CG18" i="20"/>
  <c r="CJ18" i="20" s="1"/>
  <c r="CE18" i="20"/>
  <c r="CG17" i="20"/>
  <c r="CJ17" i="20" s="1"/>
  <c r="CE17" i="20"/>
  <c r="CG16" i="20"/>
  <c r="CJ16" i="20" s="1"/>
  <c r="CE16" i="20"/>
  <c r="CG15" i="20"/>
  <c r="CJ15" i="20" s="1"/>
  <c r="CE15" i="20"/>
  <c r="CG14" i="20"/>
  <c r="CJ14" i="20" s="1"/>
  <c r="CE14" i="20"/>
  <c r="CG13" i="20"/>
  <c r="CJ13" i="20" s="1"/>
  <c r="CE13" i="20"/>
  <c r="CG12" i="20"/>
  <c r="CJ12" i="20" s="1"/>
  <c r="CE12" i="20"/>
  <c r="CG11" i="20"/>
  <c r="CJ11" i="20" s="1"/>
  <c r="CE11" i="20"/>
  <c r="CG10" i="20"/>
  <c r="CJ10" i="20" s="1"/>
  <c r="CE10" i="20"/>
  <c r="CG9" i="20"/>
  <c r="CJ9" i="20" s="1"/>
  <c r="CE9" i="20"/>
  <c r="CG8" i="20"/>
  <c r="CJ8" i="20" s="1"/>
  <c r="CE8" i="20"/>
  <c r="CG7" i="20"/>
  <c r="CJ7" i="20" s="1"/>
  <c r="CE7" i="20"/>
  <c r="CA32" i="20"/>
  <c r="CC32" i="20" s="1"/>
  <c r="BZ32" i="20"/>
  <c r="CB32" i="20" s="1"/>
  <c r="CA31" i="20"/>
  <c r="CC31" i="20" s="1"/>
  <c r="BZ31" i="20"/>
  <c r="CB31" i="20" s="1"/>
  <c r="CA30" i="20"/>
  <c r="CC30" i="20" s="1"/>
  <c r="BZ30" i="20"/>
  <c r="CB30" i="20" s="1"/>
  <c r="CA29" i="20"/>
  <c r="CC29" i="20" s="1"/>
  <c r="BZ29" i="20"/>
  <c r="CB29" i="20" s="1"/>
  <c r="CA28" i="20"/>
  <c r="CC28" i="20" s="1"/>
  <c r="BZ28" i="20"/>
  <c r="CB28" i="20" s="1"/>
  <c r="CA27" i="20"/>
  <c r="CC27" i="20" s="1"/>
  <c r="BZ27" i="20"/>
  <c r="CB27" i="20" s="1"/>
  <c r="CA26" i="20"/>
  <c r="CC26" i="20" s="1"/>
  <c r="BZ26" i="20"/>
  <c r="CB26" i="20" s="1"/>
  <c r="CA25" i="20"/>
  <c r="CC25" i="20" s="1"/>
  <c r="BZ25" i="20"/>
  <c r="CB25" i="20" s="1"/>
  <c r="CA24" i="20"/>
  <c r="CC24" i="20" s="1"/>
  <c r="BZ24" i="20"/>
  <c r="CB24" i="20" s="1"/>
  <c r="CA23" i="20"/>
  <c r="CC23" i="20" s="1"/>
  <c r="BZ23" i="20"/>
  <c r="CB23" i="20" s="1"/>
  <c r="CA22" i="20"/>
  <c r="CC22" i="20" s="1"/>
  <c r="BZ22" i="20"/>
  <c r="CB22" i="20" s="1"/>
  <c r="CA21" i="20"/>
  <c r="CC21" i="20" s="1"/>
  <c r="BZ21" i="20"/>
  <c r="CB21" i="20" s="1"/>
  <c r="CA20" i="20"/>
  <c r="CC20" i="20" s="1"/>
  <c r="BZ20" i="20"/>
  <c r="CB20" i="20" s="1"/>
  <c r="CA19" i="20"/>
  <c r="CC19" i="20" s="1"/>
  <c r="BZ19" i="20"/>
  <c r="CB19" i="20" s="1"/>
  <c r="CA18" i="20"/>
  <c r="CC18" i="20" s="1"/>
  <c r="BZ18" i="20"/>
  <c r="CB18" i="20" s="1"/>
  <c r="CA17" i="20"/>
  <c r="CC17" i="20" s="1"/>
  <c r="BZ17" i="20"/>
  <c r="CB17" i="20" s="1"/>
  <c r="CA16" i="20"/>
  <c r="CC16" i="20" s="1"/>
  <c r="BZ16" i="20"/>
  <c r="CB16" i="20" s="1"/>
  <c r="CA15" i="20"/>
  <c r="CC15" i="20" s="1"/>
  <c r="BZ15" i="20"/>
  <c r="CB15" i="20" s="1"/>
  <c r="CA14" i="20"/>
  <c r="CC14" i="20" s="1"/>
  <c r="BZ14" i="20"/>
  <c r="CB14" i="20" s="1"/>
  <c r="CA13" i="20"/>
  <c r="CC13" i="20" s="1"/>
  <c r="BZ13" i="20"/>
  <c r="CB13" i="20" s="1"/>
  <c r="CA12" i="20"/>
  <c r="CC12" i="20" s="1"/>
  <c r="BZ12" i="20"/>
  <c r="CB12" i="20" s="1"/>
  <c r="CA11" i="20"/>
  <c r="CC11" i="20" s="1"/>
  <c r="BZ11" i="20"/>
  <c r="CB11" i="20" s="1"/>
  <c r="CA10" i="20"/>
  <c r="CC10" i="20" s="1"/>
  <c r="BZ10" i="20"/>
  <c r="CB10" i="20" s="1"/>
  <c r="CA9" i="20"/>
  <c r="CC9" i="20" s="1"/>
  <c r="BZ9" i="20"/>
  <c r="CB9" i="20" s="1"/>
  <c r="CA8" i="20"/>
  <c r="CC8" i="20" s="1"/>
  <c r="BZ8" i="20"/>
  <c r="CB8" i="20" s="1"/>
  <c r="CA7" i="20"/>
  <c r="CC7" i="20" s="1"/>
  <c r="BZ7" i="20"/>
  <c r="CB7" i="20" s="1"/>
  <c r="BW32" i="20"/>
  <c r="BY32" i="20" s="1"/>
  <c r="BV32" i="20"/>
  <c r="BX32" i="20" s="1"/>
  <c r="BW31" i="20"/>
  <c r="BY31" i="20" s="1"/>
  <c r="BV31" i="20"/>
  <c r="BX31" i="20" s="1"/>
  <c r="BW30" i="20"/>
  <c r="BY30" i="20" s="1"/>
  <c r="BV30" i="20"/>
  <c r="BX30" i="20" s="1"/>
  <c r="BW29" i="20"/>
  <c r="BY29" i="20" s="1"/>
  <c r="BV29" i="20"/>
  <c r="BX29" i="20" s="1"/>
  <c r="BW28" i="20"/>
  <c r="BY28" i="20" s="1"/>
  <c r="BV28" i="20"/>
  <c r="BX28" i="20" s="1"/>
  <c r="BW27" i="20"/>
  <c r="BY27" i="20" s="1"/>
  <c r="BV27" i="20"/>
  <c r="BX27" i="20" s="1"/>
  <c r="BW26" i="20"/>
  <c r="BY26" i="20" s="1"/>
  <c r="BV26" i="20"/>
  <c r="BX26" i="20" s="1"/>
  <c r="BW25" i="20"/>
  <c r="BY25" i="20" s="1"/>
  <c r="BV25" i="20"/>
  <c r="BX25" i="20" s="1"/>
  <c r="BW24" i="20"/>
  <c r="BY24" i="20" s="1"/>
  <c r="BV24" i="20"/>
  <c r="BX24" i="20" s="1"/>
  <c r="BW23" i="20"/>
  <c r="BY23" i="20" s="1"/>
  <c r="BV23" i="20"/>
  <c r="BX23" i="20" s="1"/>
  <c r="BW22" i="20"/>
  <c r="BY22" i="20" s="1"/>
  <c r="BV22" i="20"/>
  <c r="BX22" i="20" s="1"/>
  <c r="BW21" i="20"/>
  <c r="BY21" i="20" s="1"/>
  <c r="BV21" i="20"/>
  <c r="BX21" i="20" s="1"/>
  <c r="BW20" i="20"/>
  <c r="BY20" i="20" s="1"/>
  <c r="BV20" i="20"/>
  <c r="BX20" i="20" s="1"/>
  <c r="BW19" i="20"/>
  <c r="BY19" i="20" s="1"/>
  <c r="BV19" i="20"/>
  <c r="BX19" i="20" s="1"/>
  <c r="BW18" i="20"/>
  <c r="BY18" i="20" s="1"/>
  <c r="BV18" i="20"/>
  <c r="BX18" i="20" s="1"/>
  <c r="BW17" i="20"/>
  <c r="BY17" i="20" s="1"/>
  <c r="BV17" i="20"/>
  <c r="BX17" i="20" s="1"/>
  <c r="BW16" i="20"/>
  <c r="BY16" i="20" s="1"/>
  <c r="BV16" i="20"/>
  <c r="BX16" i="20" s="1"/>
  <c r="BW15" i="20"/>
  <c r="BY15" i="20" s="1"/>
  <c r="BV15" i="20"/>
  <c r="BX15" i="20" s="1"/>
  <c r="BW14" i="20"/>
  <c r="BY14" i="20" s="1"/>
  <c r="BV14" i="20"/>
  <c r="BX14" i="20" s="1"/>
  <c r="BW13" i="20"/>
  <c r="BY13" i="20" s="1"/>
  <c r="BV13" i="20"/>
  <c r="BX13" i="20" s="1"/>
  <c r="BW12" i="20"/>
  <c r="BY12" i="20" s="1"/>
  <c r="BV12" i="20"/>
  <c r="BX12" i="20" s="1"/>
  <c r="BW11" i="20"/>
  <c r="BY11" i="20" s="1"/>
  <c r="BV11" i="20"/>
  <c r="BX11" i="20" s="1"/>
  <c r="BW10" i="20"/>
  <c r="BY10" i="20" s="1"/>
  <c r="BV10" i="20"/>
  <c r="BX10" i="20" s="1"/>
  <c r="BW9" i="20"/>
  <c r="BY9" i="20" s="1"/>
  <c r="BV9" i="20"/>
  <c r="BX9" i="20" s="1"/>
  <c r="BW8" i="20"/>
  <c r="BY8" i="20" s="1"/>
  <c r="BV8" i="20"/>
  <c r="BX8" i="20" s="1"/>
  <c r="BW7" i="20"/>
  <c r="BY7" i="20" s="1"/>
  <c r="BV7" i="20"/>
  <c r="BX7" i="20" s="1"/>
  <c r="BS32" i="20"/>
  <c r="BU32" i="20" s="1"/>
  <c r="BR32" i="20"/>
  <c r="BT32" i="20" s="1"/>
  <c r="BS31" i="20"/>
  <c r="BU31" i="20" s="1"/>
  <c r="BR31" i="20"/>
  <c r="BT31" i="20" s="1"/>
  <c r="BS30" i="20"/>
  <c r="BU30" i="20" s="1"/>
  <c r="BR30" i="20"/>
  <c r="BT30" i="20" s="1"/>
  <c r="BS29" i="20"/>
  <c r="BU29" i="20" s="1"/>
  <c r="BR29" i="20"/>
  <c r="BT29" i="20" s="1"/>
  <c r="BS28" i="20"/>
  <c r="BU28" i="20" s="1"/>
  <c r="BR28" i="20"/>
  <c r="BT28" i="20" s="1"/>
  <c r="BS27" i="20"/>
  <c r="BU27" i="20" s="1"/>
  <c r="BR27" i="20"/>
  <c r="BT27" i="20" s="1"/>
  <c r="BS26" i="20"/>
  <c r="BU26" i="20" s="1"/>
  <c r="BR26" i="20"/>
  <c r="BT26" i="20" s="1"/>
  <c r="BS25" i="20"/>
  <c r="BU25" i="20" s="1"/>
  <c r="BR25" i="20"/>
  <c r="BT25" i="20" s="1"/>
  <c r="BS24" i="20"/>
  <c r="BU24" i="20" s="1"/>
  <c r="BR24" i="20"/>
  <c r="BT24" i="20" s="1"/>
  <c r="BS23" i="20"/>
  <c r="BU23" i="20" s="1"/>
  <c r="BR23" i="20"/>
  <c r="BT23" i="20" s="1"/>
  <c r="BS22" i="20"/>
  <c r="BU22" i="20" s="1"/>
  <c r="BR22" i="20"/>
  <c r="BT22" i="20" s="1"/>
  <c r="BS21" i="20"/>
  <c r="BU21" i="20" s="1"/>
  <c r="BR21" i="20"/>
  <c r="BT21" i="20" s="1"/>
  <c r="BS20" i="20"/>
  <c r="BU20" i="20" s="1"/>
  <c r="BR20" i="20"/>
  <c r="BT20" i="20" s="1"/>
  <c r="BS19" i="20"/>
  <c r="BU19" i="20" s="1"/>
  <c r="BR19" i="20"/>
  <c r="BT19" i="20" s="1"/>
  <c r="BS18" i="20"/>
  <c r="BU18" i="20" s="1"/>
  <c r="BR18" i="20"/>
  <c r="BT18" i="20" s="1"/>
  <c r="BS17" i="20"/>
  <c r="BU17" i="20" s="1"/>
  <c r="BR17" i="20"/>
  <c r="BT17" i="20" s="1"/>
  <c r="BS16" i="20"/>
  <c r="BU16" i="20" s="1"/>
  <c r="BR16" i="20"/>
  <c r="BT16" i="20" s="1"/>
  <c r="BS15" i="20"/>
  <c r="BU15" i="20" s="1"/>
  <c r="BR15" i="20"/>
  <c r="BT15" i="20" s="1"/>
  <c r="BS14" i="20"/>
  <c r="BU14" i="20" s="1"/>
  <c r="BR14" i="20"/>
  <c r="BT14" i="20" s="1"/>
  <c r="BS13" i="20"/>
  <c r="BU13" i="20" s="1"/>
  <c r="BR13" i="20"/>
  <c r="BT13" i="20" s="1"/>
  <c r="BS12" i="20"/>
  <c r="BU12" i="20" s="1"/>
  <c r="BR12" i="20"/>
  <c r="BT12" i="20" s="1"/>
  <c r="BS11" i="20"/>
  <c r="BU11" i="20" s="1"/>
  <c r="BR11" i="20"/>
  <c r="BT11" i="20" s="1"/>
  <c r="BS10" i="20"/>
  <c r="BU10" i="20" s="1"/>
  <c r="BR10" i="20"/>
  <c r="BT10" i="20" s="1"/>
  <c r="BS9" i="20"/>
  <c r="BU9" i="20" s="1"/>
  <c r="BR9" i="20"/>
  <c r="BT9" i="20" s="1"/>
  <c r="BS8" i="20"/>
  <c r="BU8" i="20" s="1"/>
  <c r="BR8" i="20"/>
  <c r="BT8" i="20" s="1"/>
  <c r="BS7" i="20"/>
  <c r="BU7" i="20" s="1"/>
  <c r="BR7" i="20"/>
  <c r="BT7" i="20" s="1"/>
  <c r="BO32" i="20"/>
  <c r="BQ32" i="20" s="1"/>
  <c r="BN32" i="20"/>
  <c r="BP32" i="20" s="1"/>
  <c r="BO31" i="20"/>
  <c r="BQ31" i="20" s="1"/>
  <c r="BN31" i="20"/>
  <c r="BP31" i="20" s="1"/>
  <c r="BO30" i="20"/>
  <c r="BQ30" i="20" s="1"/>
  <c r="BN30" i="20"/>
  <c r="BP30" i="20" s="1"/>
  <c r="BO29" i="20"/>
  <c r="BQ29" i="20" s="1"/>
  <c r="BN29" i="20"/>
  <c r="BP29" i="20" s="1"/>
  <c r="BO28" i="20"/>
  <c r="BQ28" i="20" s="1"/>
  <c r="BN28" i="20"/>
  <c r="BP28" i="20" s="1"/>
  <c r="BO27" i="20"/>
  <c r="BQ27" i="20" s="1"/>
  <c r="BN27" i="20"/>
  <c r="BP27" i="20" s="1"/>
  <c r="BO26" i="20"/>
  <c r="BQ26" i="20" s="1"/>
  <c r="BN26" i="20"/>
  <c r="BP26" i="20" s="1"/>
  <c r="BO25" i="20"/>
  <c r="BQ25" i="20" s="1"/>
  <c r="BN25" i="20"/>
  <c r="BP25" i="20" s="1"/>
  <c r="BO24" i="20"/>
  <c r="BQ24" i="20" s="1"/>
  <c r="BN24" i="20"/>
  <c r="BP24" i="20" s="1"/>
  <c r="BO23" i="20"/>
  <c r="BQ23" i="20" s="1"/>
  <c r="BN23" i="20"/>
  <c r="BP23" i="20" s="1"/>
  <c r="BO22" i="20"/>
  <c r="BQ22" i="20" s="1"/>
  <c r="BN22" i="20"/>
  <c r="BP22" i="20" s="1"/>
  <c r="BO21" i="20"/>
  <c r="BQ21" i="20" s="1"/>
  <c r="BN21" i="20"/>
  <c r="BP21" i="20" s="1"/>
  <c r="BO20" i="20"/>
  <c r="BQ20" i="20" s="1"/>
  <c r="BN20" i="20"/>
  <c r="BP20" i="20" s="1"/>
  <c r="BO19" i="20"/>
  <c r="BQ19" i="20" s="1"/>
  <c r="BN19" i="20"/>
  <c r="BP19" i="20" s="1"/>
  <c r="BO18" i="20"/>
  <c r="BQ18" i="20" s="1"/>
  <c r="BN18" i="20"/>
  <c r="BP18" i="20" s="1"/>
  <c r="BO17" i="20"/>
  <c r="BQ17" i="20" s="1"/>
  <c r="BN17" i="20"/>
  <c r="BP17" i="20" s="1"/>
  <c r="BO16" i="20"/>
  <c r="BQ16" i="20" s="1"/>
  <c r="BN16" i="20"/>
  <c r="BP16" i="20" s="1"/>
  <c r="BO15" i="20"/>
  <c r="BQ15" i="20" s="1"/>
  <c r="BN15" i="20"/>
  <c r="BP15" i="20" s="1"/>
  <c r="BO14" i="20"/>
  <c r="BQ14" i="20" s="1"/>
  <c r="BN14" i="20"/>
  <c r="BP14" i="20" s="1"/>
  <c r="BO13" i="20"/>
  <c r="BQ13" i="20" s="1"/>
  <c r="BN13" i="20"/>
  <c r="BP13" i="20" s="1"/>
  <c r="BO12" i="20"/>
  <c r="BQ12" i="20" s="1"/>
  <c r="BN12" i="20"/>
  <c r="BP12" i="20" s="1"/>
  <c r="BO11" i="20"/>
  <c r="BQ11" i="20" s="1"/>
  <c r="BN11" i="20"/>
  <c r="BP11" i="20" s="1"/>
  <c r="BO10" i="20"/>
  <c r="BQ10" i="20" s="1"/>
  <c r="BN10" i="20"/>
  <c r="BP10" i="20" s="1"/>
  <c r="BO9" i="20"/>
  <c r="BQ9" i="20" s="1"/>
  <c r="BN9" i="20"/>
  <c r="BP9" i="20" s="1"/>
  <c r="BO8" i="20"/>
  <c r="BQ8" i="20" s="1"/>
  <c r="BN8" i="20"/>
  <c r="BP8" i="20" s="1"/>
  <c r="BO7" i="20"/>
  <c r="BQ7" i="20" s="1"/>
  <c r="BN7" i="20"/>
  <c r="BP7" i="20" s="1"/>
  <c r="BK32" i="20"/>
  <c r="BM32" i="20" s="1"/>
  <c r="BJ32" i="20"/>
  <c r="BL32" i="20" s="1"/>
  <c r="BK31" i="20"/>
  <c r="BM31" i="20" s="1"/>
  <c r="BJ31" i="20"/>
  <c r="BL31" i="20" s="1"/>
  <c r="BK30" i="20"/>
  <c r="BM30" i="20" s="1"/>
  <c r="BJ30" i="20"/>
  <c r="BL30" i="20" s="1"/>
  <c r="BK29" i="20"/>
  <c r="BM29" i="20" s="1"/>
  <c r="BJ29" i="20"/>
  <c r="BL29" i="20" s="1"/>
  <c r="BK28" i="20"/>
  <c r="BM28" i="20" s="1"/>
  <c r="BJ28" i="20"/>
  <c r="BL28" i="20" s="1"/>
  <c r="BK27" i="20"/>
  <c r="BM27" i="20" s="1"/>
  <c r="BJ27" i="20"/>
  <c r="BL27" i="20" s="1"/>
  <c r="BK26" i="20"/>
  <c r="BM26" i="20" s="1"/>
  <c r="BJ26" i="20"/>
  <c r="BL26" i="20" s="1"/>
  <c r="BK25" i="20"/>
  <c r="BM25" i="20" s="1"/>
  <c r="BJ25" i="20"/>
  <c r="BL25" i="20" s="1"/>
  <c r="BK24" i="20"/>
  <c r="BM24" i="20" s="1"/>
  <c r="BJ24" i="20"/>
  <c r="BL24" i="20" s="1"/>
  <c r="BK23" i="20"/>
  <c r="BM23" i="20" s="1"/>
  <c r="BJ23" i="20"/>
  <c r="BL23" i="20" s="1"/>
  <c r="BK22" i="20"/>
  <c r="BM22" i="20" s="1"/>
  <c r="BJ22" i="20"/>
  <c r="BL22" i="20" s="1"/>
  <c r="BK21" i="20"/>
  <c r="BM21" i="20" s="1"/>
  <c r="BJ21" i="20"/>
  <c r="BL21" i="20" s="1"/>
  <c r="BK20" i="20"/>
  <c r="BM20" i="20" s="1"/>
  <c r="BJ20" i="20"/>
  <c r="BL20" i="20" s="1"/>
  <c r="BK19" i="20"/>
  <c r="BM19" i="20" s="1"/>
  <c r="BJ19" i="20"/>
  <c r="BL19" i="20" s="1"/>
  <c r="BK18" i="20"/>
  <c r="BM18" i="20" s="1"/>
  <c r="BJ18" i="20"/>
  <c r="BL18" i="20" s="1"/>
  <c r="BK17" i="20"/>
  <c r="BM17" i="20" s="1"/>
  <c r="BJ17" i="20"/>
  <c r="BL17" i="20" s="1"/>
  <c r="BK16" i="20"/>
  <c r="BM16" i="20" s="1"/>
  <c r="BJ16" i="20"/>
  <c r="BL16" i="20" s="1"/>
  <c r="BK15" i="20"/>
  <c r="BM15" i="20" s="1"/>
  <c r="BJ15" i="20"/>
  <c r="BL15" i="20" s="1"/>
  <c r="BK14" i="20"/>
  <c r="BM14" i="20" s="1"/>
  <c r="BJ14" i="20"/>
  <c r="BL14" i="20" s="1"/>
  <c r="BK13" i="20"/>
  <c r="BM13" i="20" s="1"/>
  <c r="BJ13" i="20"/>
  <c r="BL13" i="20" s="1"/>
  <c r="BK12" i="20"/>
  <c r="BM12" i="20" s="1"/>
  <c r="BJ12" i="20"/>
  <c r="BL12" i="20" s="1"/>
  <c r="BK11" i="20"/>
  <c r="BM11" i="20" s="1"/>
  <c r="BJ11" i="20"/>
  <c r="BL11" i="20" s="1"/>
  <c r="BK10" i="20"/>
  <c r="BM10" i="20" s="1"/>
  <c r="BJ10" i="20"/>
  <c r="BL10" i="20" s="1"/>
  <c r="BK9" i="20"/>
  <c r="BM9" i="20" s="1"/>
  <c r="BJ9" i="20"/>
  <c r="BL9" i="20" s="1"/>
  <c r="BK8" i="20"/>
  <c r="BM8" i="20" s="1"/>
  <c r="BJ8" i="20"/>
  <c r="BL8" i="20" s="1"/>
  <c r="BK7" i="20"/>
  <c r="BM7" i="20" s="1"/>
  <c r="BJ7" i="20"/>
  <c r="BL7" i="20" s="1"/>
  <c r="BG32" i="20"/>
  <c r="BI32" i="20" s="1"/>
  <c r="BF32" i="20"/>
  <c r="BH32" i="20" s="1"/>
  <c r="BG31" i="20"/>
  <c r="BI31" i="20" s="1"/>
  <c r="BF31" i="20"/>
  <c r="BH31" i="20" s="1"/>
  <c r="BG30" i="20"/>
  <c r="BI30" i="20" s="1"/>
  <c r="BF30" i="20"/>
  <c r="BH30" i="20" s="1"/>
  <c r="BG29" i="20"/>
  <c r="BI29" i="20" s="1"/>
  <c r="BF29" i="20"/>
  <c r="BH29" i="20" s="1"/>
  <c r="BG28" i="20"/>
  <c r="BI28" i="20" s="1"/>
  <c r="BF28" i="20"/>
  <c r="BH28" i="20" s="1"/>
  <c r="BG27" i="20"/>
  <c r="BI27" i="20" s="1"/>
  <c r="BF27" i="20"/>
  <c r="BH27" i="20" s="1"/>
  <c r="BG26" i="20"/>
  <c r="BI26" i="20" s="1"/>
  <c r="BF26" i="20"/>
  <c r="BH26" i="20" s="1"/>
  <c r="BG25" i="20"/>
  <c r="BI25" i="20" s="1"/>
  <c r="BF25" i="20"/>
  <c r="BH25" i="20" s="1"/>
  <c r="BG24" i="20"/>
  <c r="BI24" i="20" s="1"/>
  <c r="BF24" i="20"/>
  <c r="BH24" i="20" s="1"/>
  <c r="BG23" i="20"/>
  <c r="BI23" i="20" s="1"/>
  <c r="BF23" i="20"/>
  <c r="BH23" i="20" s="1"/>
  <c r="BG22" i="20"/>
  <c r="BI22" i="20" s="1"/>
  <c r="BF22" i="20"/>
  <c r="BH22" i="20" s="1"/>
  <c r="BG21" i="20"/>
  <c r="BI21" i="20" s="1"/>
  <c r="BF21" i="20"/>
  <c r="BH21" i="20" s="1"/>
  <c r="BG20" i="20"/>
  <c r="BI20" i="20" s="1"/>
  <c r="BF20" i="20"/>
  <c r="BH20" i="20" s="1"/>
  <c r="BG19" i="20"/>
  <c r="BI19" i="20" s="1"/>
  <c r="BF19" i="20"/>
  <c r="BH19" i="20" s="1"/>
  <c r="BG18" i="20"/>
  <c r="BI18" i="20" s="1"/>
  <c r="BF18" i="20"/>
  <c r="BH18" i="20" s="1"/>
  <c r="BG17" i="20"/>
  <c r="BI17" i="20" s="1"/>
  <c r="BF17" i="20"/>
  <c r="BH17" i="20" s="1"/>
  <c r="BG16" i="20"/>
  <c r="BI16" i="20" s="1"/>
  <c r="BF16" i="20"/>
  <c r="BH16" i="20" s="1"/>
  <c r="BG15" i="20"/>
  <c r="BI15" i="20" s="1"/>
  <c r="BF15" i="20"/>
  <c r="BH15" i="20" s="1"/>
  <c r="BG14" i="20"/>
  <c r="BI14" i="20" s="1"/>
  <c r="BF14" i="20"/>
  <c r="BH14" i="20" s="1"/>
  <c r="BG13" i="20"/>
  <c r="BI13" i="20" s="1"/>
  <c r="BF13" i="20"/>
  <c r="BH13" i="20" s="1"/>
  <c r="BG12" i="20"/>
  <c r="BI12" i="20" s="1"/>
  <c r="BF12" i="20"/>
  <c r="BH12" i="20" s="1"/>
  <c r="BG11" i="20"/>
  <c r="BI11" i="20" s="1"/>
  <c r="BF11" i="20"/>
  <c r="BH11" i="20" s="1"/>
  <c r="BG10" i="20"/>
  <c r="BI10" i="20" s="1"/>
  <c r="BF10" i="20"/>
  <c r="BH10" i="20" s="1"/>
  <c r="BG9" i="20"/>
  <c r="BI9" i="20" s="1"/>
  <c r="BF9" i="20"/>
  <c r="BH9" i="20" s="1"/>
  <c r="BG8" i="20"/>
  <c r="BI8" i="20" s="1"/>
  <c r="BF8" i="20"/>
  <c r="BH8" i="20" s="1"/>
  <c r="BG7" i="20"/>
  <c r="BI7" i="20" s="1"/>
  <c r="BF7" i="20"/>
  <c r="BH7" i="20" s="1"/>
  <c r="BC32" i="20"/>
  <c r="BE32" i="20" s="1"/>
  <c r="BB32" i="20"/>
  <c r="BD32" i="20" s="1"/>
  <c r="BC31" i="20"/>
  <c r="BE31" i="20" s="1"/>
  <c r="BB31" i="20"/>
  <c r="BD31" i="20" s="1"/>
  <c r="BC30" i="20"/>
  <c r="BE30" i="20" s="1"/>
  <c r="BB30" i="20"/>
  <c r="BD30" i="20" s="1"/>
  <c r="BC29" i="20"/>
  <c r="BE29" i="20" s="1"/>
  <c r="BB29" i="20"/>
  <c r="BD29" i="20" s="1"/>
  <c r="BC28" i="20"/>
  <c r="BE28" i="20" s="1"/>
  <c r="BB28" i="20"/>
  <c r="BD28" i="20" s="1"/>
  <c r="BC27" i="20"/>
  <c r="BE27" i="20" s="1"/>
  <c r="BB27" i="20"/>
  <c r="BD27" i="20" s="1"/>
  <c r="BC26" i="20"/>
  <c r="BE26" i="20" s="1"/>
  <c r="BB26" i="20"/>
  <c r="BD26" i="20" s="1"/>
  <c r="BC25" i="20"/>
  <c r="BE25" i="20" s="1"/>
  <c r="BB25" i="20"/>
  <c r="BD25" i="20" s="1"/>
  <c r="BC24" i="20"/>
  <c r="BE24" i="20" s="1"/>
  <c r="BB24" i="20"/>
  <c r="BD24" i="20" s="1"/>
  <c r="BC23" i="20"/>
  <c r="BE23" i="20" s="1"/>
  <c r="BB23" i="20"/>
  <c r="BD23" i="20" s="1"/>
  <c r="BC22" i="20"/>
  <c r="BE22" i="20" s="1"/>
  <c r="BB22" i="20"/>
  <c r="BD22" i="20" s="1"/>
  <c r="BC21" i="20"/>
  <c r="BE21" i="20" s="1"/>
  <c r="BB21" i="20"/>
  <c r="BD21" i="20" s="1"/>
  <c r="BC20" i="20"/>
  <c r="BE20" i="20" s="1"/>
  <c r="BB20" i="20"/>
  <c r="BD20" i="20" s="1"/>
  <c r="BC19" i="20"/>
  <c r="BE19" i="20" s="1"/>
  <c r="BB19" i="20"/>
  <c r="BD19" i="20" s="1"/>
  <c r="BC18" i="20"/>
  <c r="BE18" i="20" s="1"/>
  <c r="BB18" i="20"/>
  <c r="BD18" i="20" s="1"/>
  <c r="BC17" i="20"/>
  <c r="BE17" i="20" s="1"/>
  <c r="BB17" i="20"/>
  <c r="BD17" i="20" s="1"/>
  <c r="BC16" i="20"/>
  <c r="BE16" i="20" s="1"/>
  <c r="BB16" i="20"/>
  <c r="BD16" i="20" s="1"/>
  <c r="BC15" i="20"/>
  <c r="BE15" i="20" s="1"/>
  <c r="BB15" i="20"/>
  <c r="BD15" i="20" s="1"/>
  <c r="BC14" i="20"/>
  <c r="BE14" i="20" s="1"/>
  <c r="BB14" i="20"/>
  <c r="BD14" i="20" s="1"/>
  <c r="BC13" i="20"/>
  <c r="BE13" i="20" s="1"/>
  <c r="BB13" i="20"/>
  <c r="BD13" i="20" s="1"/>
  <c r="BC12" i="20"/>
  <c r="BE12" i="20" s="1"/>
  <c r="BB12" i="20"/>
  <c r="BD12" i="20" s="1"/>
  <c r="BC11" i="20"/>
  <c r="BE11" i="20" s="1"/>
  <c r="BB11" i="20"/>
  <c r="BD11" i="20" s="1"/>
  <c r="BC10" i="20"/>
  <c r="BE10" i="20" s="1"/>
  <c r="BB10" i="20"/>
  <c r="BD10" i="20" s="1"/>
  <c r="BC9" i="20"/>
  <c r="BE9" i="20" s="1"/>
  <c r="BB9" i="20"/>
  <c r="BD9" i="20" s="1"/>
  <c r="BC8" i="20"/>
  <c r="BE8" i="20" s="1"/>
  <c r="BB8" i="20"/>
  <c r="BD8" i="20" s="1"/>
  <c r="BC7" i="20"/>
  <c r="BE7" i="20" s="1"/>
  <c r="BB7" i="20"/>
  <c r="BD7" i="20" s="1"/>
  <c r="AY32" i="20"/>
  <c r="BA32" i="20" s="1"/>
  <c r="AX32" i="20"/>
  <c r="AZ32" i="20" s="1"/>
  <c r="AY31" i="20"/>
  <c r="BA31" i="20" s="1"/>
  <c r="AX31" i="20"/>
  <c r="AZ31" i="20" s="1"/>
  <c r="AY30" i="20"/>
  <c r="BA30" i="20" s="1"/>
  <c r="AX30" i="20"/>
  <c r="AZ30" i="20" s="1"/>
  <c r="AY29" i="20"/>
  <c r="BA29" i="20" s="1"/>
  <c r="AX29" i="20"/>
  <c r="AZ29" i="20" s="1"/>
  <c r="AY28" i="20"/>
  <c r="BA28" i="20" s="1"/>
  <c r="AX28" i="20"/>
  <c r="AZ28" i="20" s="1"/>
  <c r="AY27" i="20"/>
  <c r="BA27" i="20" s="1"/>
  <c r="AX27" i="20"/>
  <c r="AZ27" i="20" s="1"/>
  <c r="AY26" i="20"/>
  <c r="BA26" i="20" s="1"/>
  <c r="AX26" i="20"/>
  <c r="AZ26" i="20" s="1"/>
  <c r="AY25" i="20"/>
  <c r="BA25" i="20" s="1"/>
  <c r="AX25" i="20"/>
  <c r="AZ25" i="20" s="1"/>
  <c r="AY24" i="20"/>
  <c r="BA24" i="20" s="1"/>
  <c r="AX24" i="20"/>
  <c r="AZ24" i="20" s="1"/>
  <c r="AY23" i="20"/>
  <c r="BA23" i="20" s="1"/>
  <c r="AX23" i="20"/>
  <c r="AZ23" i="20" s="1"/>
  <c r="AY22" i="20"/>
  <c r="BA22" i="20" s="1"/>
  <c r="AX22" i="20"/>
  <c r="AZ22" i="20" s="1"/>
  <c r="AY21" i="20"/>
  <c r="BA21" i="20" s="1"/>
  <c r="AX21" i="20"/>
  <c r="AZ21" i="20" s="1"/>
  <c r="AY20" i="20"/>
  <c r="BA20" i="20" s="1"/>
  <c r="AX20" i="20"/>
  <c r="AZ20" i="20" s="1"/>
  <c r="AY19" i="20"/>
  <c r="BA19" i="20" s="1"/>
  <c r="AX19" i="20"/>
  <c r="AZ19" i="20" s="1"/>
  <c r="AY18" i="20"/>
  <c r="BA18" i="20" s="1"/>
  <c r="AX18" i="20"/>
  <c r="AZ18" i="20" s="1"/>
  <c r="AY17" i="20"/>
  <c r="BA17" i="20" s="1"/>
  <c r="AX17" i="20"/>
  <c r="AZ17" i="20" s="1"/>
  <c r="AY16" i="20"/>
  <c r="BA16" i="20" s="1"/>
  <c r="AX16" i="20"/>
  <c r="AZ16" i="20" s="1"/>
  <c r="AY15" i="20"/>
  <c r="BA15" i="20" s="1"/>
  <c r="AX15" i="20"/>
  <c r="AZ15" i="20" s="1"/>
  <c r="AY14" i="20"/>
  <c r="BA14" i="20" s="1"/>
  <c r="AX14" i="20"/>
  <c r="AZ14" i="20" s="1"/>
  <c r="AY13" i="20"/>
  <c r="BA13" i="20" s="1"/>
  <c r="AX13" i="20"/>
  <c r="AZ13" i="20" s="1"/>
  <c r="AY12" i="20"/>
  <c r="BA12" i="20" s="1"/>
  <c r="AX12" i="20"/>
  <c r="AZ12" i="20" s="1"/>
  <c r="AY11" i="20"/>
  <c r="BA11" i="20" s="1"/>
  <c r="AX11" i="20"/>
  <c r="AZ11" i="20" s="1"/>
  <c r="AY10" i="20"/>
  <c r="BA10" i="20" s="1"/>
  <c r="AX10" i="20"/>
  <c r="AZ10" i="20" s="1"/>
  <c r="AY9" i="20"/>
  <c r="BA9" i="20" s="1"/>
  <c r="AX9" i="20"/>
  <c r="AZ9" i="20" s="1"/>
  <c r="AY8" i="20"/>
  <c r="BA8" i="20" s="1"/>
  <c r="AX8" i="20"/>
  <c r="AZ8" i="20" s="1"/>
  <c r="AY7" i="20"/>
  <c r="BA7" i="20" s="1"/>
  <c r="AX7" i="20"/>
  <c r="AZ7" i="20" s="1"/>
  <c r="AQ32" i="20"/>
  <c r="AS32" i="20" s="1"/>
  <c r="AP32" i="20"/>
  <c r="AR32" i="20" s="1"/>
  <c r="AQ31" i="20"/>
  <c r="AS31" i="20" s="1"/>
  <c r="AP31" i="20"/>
  <c r="AR31" i="20" s="1"/>
  <c r="AQ30" i="20"/>
  <c r="AS30" i="20" s="1"/>
  <c r="AP30" i="20"/>
  <c r="AR30" i="20" s="1"/>
  <c r="AQ29" i="20"/>
  <c r="AS29" i="20" s="1"/>
  <c r="AP29" i="20"/>
  <c r="AR29" i="20" s="1"/>
  <c r="AQ28" i="20"/>
  <c r="AS28" i="20" s="1"/>
  <c r="AP28" i="20"/>
  <c r="AR28" i="20" s="1"/>
  <c r="AQ27" i="20"/>
  <c r="AS27" i="20" s="1"/>
  <c r="AP27" i="20"/>
  <c r="AR27" i="20" s="1"/>
  <c r="AQ26" i="20"/>
  <c r="AS26" i="20" s="1"/>
  <c r="AP26" i="20"/>
  <c r="AR26" i="20" s="1"/>
  <c r="AQ25" i="20"/>
  <c r="AS25" i="20" s="1"/>
  <c r="AP25" i="20"/>
  <c r="AR25" i="20" s="1"/>
  <c r="AQ24" i="20"/>
  <c r="AS24" i="20" s="1"/>
  <c r="AP24" i="20"/>
  <c r="AR24" i="20" s="1"/>
  <c r="AQ23" i="20"/>
  <c r="AS23" i="20" s="1"/>
  <c r="AP23" i="20"/>
  <c r="AR23" i="20" s="1"/>
  <c r="AQ22" i="20"/>
  <c r="AS22" i="20" s="1"/>
  <c r="AP22" i="20"/>
  <c r="AR22" i="20" s="1"/>
  <c r="AQ21" i="20"/>
  <c r="AS21" i="20" s="1"/>
  <c r="AP21" i="20"/>
  <c r="AR21" i="20" s="1"/>
  <c r="AQ20" i="20"/>
  <c r="AS20" i="20" s="1"/>
  <c r="AP20" i="20"/>
  <c r="AR20" i="20" s="1"/>
  <c r="AQ19" i="20"/>
  <c r="AS19" i="20" s="1"/>
  <c r="AP19" i="20"/>
  <c r="AR19" i="20" s="1"/>
  <c r="AQ18" i="20"/>
  <c r="AS18" i="20" s="1"/>
  <c r="AP18" i="20"/>
  <c r="AR18" i="20" s="1"/>
  <c r="AQ17" i="20"/>
  <c r="AS17" i="20" s="1"/>
  <c r="AP17" i="20"/>
  <c r="AR17" i="20" s="1"/>
  <c r="AQ16" i="20"/>
  <c r="AS16" i="20" s="1"/>
  <c r="AP16" i="20"/>
  <c r="AR16" i="20" s="1"/>
  <c r="AQ15" i="20"/>
  <c r="AS15" i="20" s="1"/>
  <c r="AP15" i="20"/>
  <c r="AR15" i="20" s="1"/>
  <c r="AQ14" i="20"/>
  <c r="AS14" i="20" s="1"/>
  <c r="AP14" i="20"/>
  <c r="AR14" i="20" s="1"/>
  <c r="AQ13" i="20"/>
  <c r="AS13" i="20" s="1"/>
  <c r="AP13" i="20"/>
  <c r="AR13" i="20" s="1"/>
  <c r="AQ12" i="20"/>
  <c r="AS12" i="20" s="1"/>
  <c r="AP12" i="20"/>
  <c r="AR12" i="20" s="1"/>
  <c r="AQ11" i="20"/>
  <c r="AS11" i="20" s="1"/>
  <c r="AP11" i="20"/>
  <c r="AR11" i="20" s="1"/>
  <c r="AQ10" i="20"/>
  <c r="AS10" i="20" s="1"/>
  <c r="AP10" i="20"/>
  <c r="AR10" i="20" s="1"/>
  <c r="AQ9" i="20"/>
  <c r="AS9" i="20" s="1"/>
  <c r="AP9" i="20"/>
  <c r="AR9" i="20" s="1"/>
  <c r="AQ8" i="20"/>
  <c r="AS8" i="20" s="1"/>
  <c r="AP8" i="20"/>
  <c r="AR8" i="20" s="1"/>
  <c r="AQ7" i="20"/>
  <c r="AS7" i="20" s="1"/>
  <c r="AP7" i="20"/>
  <c r="AR7" i="20" s="1"/>
  <c r="AM32" i="20"/>
  <c r="AO32" i="20" s="1"/>
  <c r="AL32" i="20"/>
  <c r="AN32" i="20" s="1"/>
  <c r="AM31" i="20"/>
  <c r="AO31" i="20" s="1"/>
  <c r="AL31" i="20"/>
  <c r="AN31" i="20" s="1"/>
  <c r="AM30" i="20"/>
  <c r="AO30" i="20" s="1"/>
  <c r="AL30" i="20"/>
  <c r="AN30" i="20" s="1"/>
  <c r="AM29" i="20"/>
  <c r="AO29" i="20" s="1"/>
  <c r="AL29" i="20"/>
  <c r="AN29" i="20" s="1"/>
  <c r="AM28" i="20"/>
  <c r="AO28" i="20" s="1"/>
  <c r="AL28" i="20"/>
  <c r="AN28" i="20" s="1"/>
  <c r="AM27" i="20"/>
  <c r="AO27" i="20" s="1"/>
  <c r="AL27" i="20"/>
  <c r="AN27" i="20" s="1"/>
  <c r="AM26" i="20"/>
  <c r="AO26" i="20" s="1"/>
  <c r="AL26" i="20"/>
  <c r="AN26" i="20" s="1"/>
  <c r="AM25" i="20"/>
  <c r="AO25" i="20" s="1"/>
  <c r="AL25" i="20"/>
  <c r="AN25" i="20" s="1"/>
  <c r="AM24" i="20"/>
  <c r="AO24" i="20" s="1"/>
  <c r="AL24" i="20"/>
  <c r="AN24" i="20" s="1"/>
  <c r="AM23" i="20"/>
  <c r="AO23" i="20" s="1"/>
  <c r="AL23" i="20"/>
  <c r="AN23" i="20" s="1"/>
  <c r="AM22" i="20"/>
  <c r="AO22" i="20" s="1"/>
  <c r="AL22" i="20"/>
  <c r="AN22" i="20" s="1"/>
  <c r="AM21" i="20"/>
  <c r="AO21" i="20" s="1"/>
  <c r="AL21" i="20"/>
  <c r="AN21" i="20" s="1"/>
  <c r="AM20" i="20"/>
  <c r="AO20" i="20" s="1"/>
  <c r="AL20" i="20"/>
  <c r="AN20" i="20" s="1"/>
  <c r="AM19" i="20"/>
  <c r="AO19" i="20" s="1"/>
  <c r="AL19" i="20"/>
  <c r="AN19" i="20" s="1"/>
  <c r="AM18" i="20"/>
  <c r="AO18" i="20" s="1"/>
  <c r="AL18" i="20"/>
  <c r="AN18" i="20" s="1"/>
  <c r="AM17" i="20"/>
  <c r="AO17" i="20" s="1"/>
  <c r="AL17" i="20"/>
  <c r="AN17" i="20" s="1"/>
  <c r="AM16" i="20"/>
  <c r="AO16" i="20" s="1"/>
  <c r="AL16" i="20"/>
  <c r="AN16" i="20" s="1"/>
  <c r="AM15" i="20"/>
  <c r="AO15" i="20" s="1"/>
  <c r="AL15" i="20"/>
  <c r="AN15" i="20" s="1"/>
  <c r="AM14" i="20"/>
  <c r="AO14" i="20" s="1"/>
  <c r="AL14" i="20"/>
  <c r="AN14" i="20" s="1"/>
  <c r="AM13" i="20"/>
  <c r="AO13" i="20" s="1"/>
  <c r="AL13" i="20"/>
  <c r="AN13" i="20" s="1"/>
  <c r="AM12" i="20"/>
  <c r="AO12" i="20" s="1"/>
  <c r="AL12" i="20"/>
  <c r="AN12" i="20" s="1"/>
  <c r="AM11" i="20"/>
  <c r="AO11" i="20" s="1"/>
  <c r="AL11" i="20"/>
  <c r="AN11" i="20" s="1"/>
  <c r="AM10" i="20"/>
  <c r="AO10" i="20" s="1"/>
  <c r="AL10" i="20"/>
  <c r="AN10" i="20" s="1"/>
  <c r="AM9" i="20"/>
  <c r="AO9" i="20" s="1"/>
  <c r="AL9" i="20"/>
  <c r="AN9" i="20" s="1"/>
  <c r="AM8" i="20"/>
  <c r="AO8" i="20" s="1"/>
  <c r="AL8" i="20"/>
  <c r="AN8" i="20" s="1"/>
  <c r="AM7" i="20"/>
  <c r="AO7" i="20" s="1"/>
  <c r="AL7" i="20"/>
  <c r="AN7" i="20" s="1"/>
  <c r="AI32" i="20"/>
  <c r="AK32" i="20" s="1"/>
  <c r="AH32" i="20"/>
  <c r="AJ32" i="20" s="1"/>
  <c r="AI31" i="20"/>
  <c r="AK31" i="20" s="1"/>
  <c r="AH31" i="20"/>
  <c r="AJ31" i="20" s="1"/>
  <c r="AI30" i="20"/>
  <c r="AK30" i="20" s="1"/>
  <c r="AH30" i="20"/>
  <c r="AJ30" i="20" s="1"/>
  <c r="AI29" i="20"/>
  <c r="AK29" i="20" s="1"/>
  <c r="AH29" i="20"/>
  <c r="AJ29" i="20" s="1"/>
  <c r="AI28" i="20"/>
  <c r="AK28" i="20" s="1"/>
  <c r="AH28" i="20"/>
  <c r="AJ28" i="20" s="1"/>
  <c r="AI27" i="20"/>
  <c r="AK27" i="20" s="1"/>
  <c r="AH27" i="20"/>
  <c r="AJ27" i="20" s="1"/>
  <c r="AI26" i="20"/>
  <c r="AK26" i="20" s="1"/>
  <c r="AH26" i="20"/>
  <c r="AJ26" i="20" s="1"/>
  <c r="AI25" i="20"/>
  <c r="AK25" i="20" s="1"/>
  <c r="AH25" i="20"/>
  <c r="AJ25" i="20" s="1"/>
  <c r="AI24" i="20"/>
  <c r="AK24" i="20" s="1"/>
  <c r="AH24" i="20"/>
  <c r="AJ24" i="20" s="1"/>
  <c r="AI23" i="20"/>
  <c r="AK23" i="20" s="1"/>
  <c r="AH23" i="20"/>
  <c r="AJ23" i="20" s="1"/>
  <c r="AI22" i="20"/>
  <c r="AK22" i="20" s="1"/>
  <c r="AH22" i="20"/>
  <c r="AJ22" i="20" s="1"/>
  <c r="AI21" i="20"/>
  <c r="AK21" i="20" s="1"/>
  <c r="AH21" i="20"/>
  <c r="AJ21" i="20" s="1"/>
  <c r="AI20" i="20"/>
  <c r="AK20" i="20" s="1"/>
  <c r="AH20" i="20"/>
  <c r="AJ20" i="20" s="1"/>
  <c r="AI19" i="20"/>
  <c r="AK19" i="20" s="1"/>
  <c r="AH19" i="20"/>
  <c r="AJ19" i="20" s="1"/>
  <c r="AI18" i="20"/>
  <c r="AK18" i="20" s="1"/>
  <c r="AH18" i="20"/>
  <c r="AJ18" i="20" s="1"/>
  <c r="AI17" i="20"/>
  <c r="AK17" i="20" s="1"/>
  <c r="AH17" i="20"/>
  <c r="AJ17" i="20" s="1"/>
  <c r="AI16" i="20"/>
  <c r="AK16" i="20" s="1"/>
  <c r="AH16" i="20"/>
  <c r="AJ16" i="20" s="1"/>
  <c r="AI15" i="20"/>
  <c r="AK15" i="20" s="1"/>
  <c r="AH15" i="20"/>
  <c r="AJ15" i="20" s="1"/>
  <c r="AI14" i="20"/>
  <c r="AK14" i="20" s="1"/>
  <c r="AH14" i="20"/>
  <c r="AJ14" i="20" s="1"/>
  <c r="AI13" i="20"/>
  <c r="AK13" i="20" s="1"/>
  <c r="AH13" i="20"/>
  <c r="AJ13" i="20" s="1"/>
  <c r="AI12" i="20"/>
  <c r="AK12" i="20" s="1"/>
  <c r="AH12" i="20"/>
  <c r="AJ12" i="20" s="1"/>
  <c r="AI11" i="20"/>
  <c r="AK11" i="20" s="1"/>
  <c r="AH11" i="20"/>
  <c r="AJ11" i="20" s="1"/>
  <c r="AI10" i="20"/>
  <c r="AK10" i="20" s="1"/>
  <c r="AH10" i="20"/>
  <c r="AJ10" i="20" s="1"/>
  <c r="AI9" i="20"/>
  <c r="AK9" i="20" s="1"/>
  <c r="AH9" i="20"/>
  <c r="AJ9" i="20" s="1"/>
  <c r="AI8" i="20"/>
  <c r="AK8" i="20" s="1"/>
  <c r="AH8" i="20"/>
  <c r="AJ8" i="20" s="1"/>
  <c r="AI7" i="20"/>
  <c r="AK7" i="20" s="1"/>
  <c r="AH7" i="20"/>
  <c r="AJ7" i="20" s="1"/>
  <c r="AE32" i="20"/>
  <c r="AG32" i="20" s="1"/>
  <c r="AD32" i="20"/>
  <c r="AF32" i="20" s="1"/>
  <c r="AE31" i="20"/>
  <c r="AG31" i="20" s="1"/>
  <c r="AD31" i="20"/>
  <c r="AF31" i="20" s="1"/>
  <c r="AE30" i="20"/>
  <c r="AG30" i="20" s="1"/>
  <c r="AD30" i="20"/>
  <c r="AF30" i="20" s="1"/>
  <c r="AE29" i="20"/>
  <c r="AG29" i="20" s="1"/>
  <c r="AD29" i="20"/>
  <c r="AF29" i="20" s="1"/>
  <c r="AE28" i="20"/>
  <c r="AG28" i="20" s="1"/>
  <c r="AD28" i="20"/>
  <c r="AF28" i="20" s="1"/>
  <c r="AE27" i="20"/>
  <c r="AG27" i="20" s="1"/>
  <c r="AD27" i="20"/>
  <c r="AF27" i="20" s="1"/>
  <c r="AE26" i="20"/>
  <c r="AG26" i="20" s="1"/>
  <c r="AD26" i="20"/>
  <c r="AF26" i="20" s="1"/>
  <c r="AE25" i="20"/>
  <c r="AG25" i="20" s="1"/>
  <c r="AD25" i="20"/>
  <c r="AF25" i="20" s="1"/>
  <c r="AE24" i="20"/>
  <c r="AG24" i="20" s="1"/>
  <c r="AD24" i="20"/>
  <c r="AF24" i="20" s="1"/>
  <c r="AE23" i="20"/>
  <c r="AG23" i="20" s="1"/>
  <c r="AD23" i="20"/>
  <c r="AF23" i="20" s="1"/>
  <c r="AE22" i="20"/>
  <c r="AG22" i="20" s="1"/>
  <c r="AD22" i="20"/>
  <c r="AF22" i="20" s="1"/>
  <c r="AE21" i="20"/>
  <c r="AG21" i="20" s="1"/>
  <c r="AD21" i="20"/>
  <c r="AF21" i="20" s="1"/>
  <c r="AE20" i="20"/>
  <c r="AG20" i="20" s="1"/>
  <c r="AD20" i="20"/>
  <c r="AF20" i="20" s="1"/>
  <c r="AE19" i="20"/>
  <c r="AG19" i="20" s="1"/>
  <c r="AD19" i="20"/>
  <c r="AF19" i="20" s="1"/>
  <c r="AE18" i="20"/>
  <c r="AG18" i="20" s="1"/>
  <c r="AD18" i="20"/>
  <c r="AF18" i="20" s="1"/>
  <c r="AE17" i="20"/>
  <c r="AG17" i="20" s="1"/>
  <c r="AD17" i="20"/>
  <c r="AF17" i="20" s="1"/>
  <c r="AE16" i="20"/>
  <c r="AG16" i="20" s="1"/>
  <c r="AD16" i="20"/>
  <c r="AF16" i="20" s="1"/>
  <c r="AE15" i="20"/>
  <c r="AG15" i="20" s="1"/>
  <c r="AD15" i="20"/>
  <c r="AF15" i="20" s="1"/>
  <c r="AE14" i="20"/>
  <c r="AG14" i="20" s="1"/>
  <c r="AD14" i="20"/>
  <c r="AF14" i="20" s="1"/>
  <c r="AE13" i="20"/>
  <c r="AG13" i="20" s="1"/>
  <c r="AD13" i="20"/>
  <c r="AF13" i="20" s="1"/>
  <c r="AE12" i="20"/>
  <c r="AG12" i="20" s="1"/>
  <c r="AD12" i="20"/>
  <c r="AF12" i="20" s="1"/>
  <c r="AE11" i="20"/>
  <c r="AG11" i="20" s="1"/>
  <c r="AD11" i="20"/>
  <c r="AF11" i="20" s="1"/>
  <c r="AE10" i="20"/>
  <c r="AG10" i="20" s="1"/>
  <c r="AD10" i="20"/>
  <c r="AF10" i="20" s="1"/>
  <c r="AE9" i="20"/>
  <c r="AG9" i="20" s="1"/>
  <c r="AD9" i="20"/>
  <c r="AF9" i="20" s="1"/>
  <c r="AE8" i="20"/>
  <c r="AG8" i="20" s="1"/>
  <c r="AD8" i="20"/>
  <c r="AF8" i="20" s="1"/>
  <c r="AE7" i="20"/>
  <c r="AG7" i="20" s="1"/>
  <c r="AD7" i="20"/>
  <c r="AF7" i="20" s="1"/>
  <c r="AA32" i="20"/>
  <c r="AC32" i="20" s="1"/>
  <c r="Z32" i="20"/>
  <c r="AB32" i="20" s="1"/>
  <c r="AA31" i="20"/>
  <c r="AC31" i="20" s="1"/>
  <c r="Z31" i="20"/>
  <c r="AB31" i="20" s="1"/>
  <c r="AA30" i="20"/>
  <c r="AC30" i="20" s="1"/>
  <c r="Z30" i="20"/>
  <c r="AB30" i="20" s="1"/>
  <c r="AA29" i="20"/>
  <c r="AC29" i="20" s="1"/>
  <c r="Z29" i="20"/>
  <c r="AB29" i="20" s="1"/>
  <c r="AA28" i="20"/>
  <c r="AC28" i="20" s="1"/>
  <c r="Z28" i="20"/>
  <c r="AB28" i="20" s="1"/>
  <c r="AA27" i="20"/>
  <c r="AC27" i="20" s="1"/>
  <c r="Z27" i="20"/>
  <c r="AB27" i="20" s="1"/>
  <c r="AA26" i="20"/>
  <c r="AC26" i="20" s="1"/>
  <c r="Z26" i="20"/>
  <c r="AB26" i="20" s="1"/>
  <c r="AA25" i="20"/>
  <c r="AC25" i="20" s="1"/>
  <c r="Z25" i="20"/>
  <c r="AB25" i="20" s="1"/>
  <c r="AA24" i="20"/>
  <c r="AC24" i="20" s="1"/>
  <c r="Z24" i="20"/>
  <c r="AB24" i="20" s="1"/>
  <c r="AA23" i="20"/>
  <c r="AC23" i="20" s="1"/>
  <c r="Z23" i="20"/>
  <c r="AB23" i="20" s="1"/>
  <c r="AA22" i="20"/>
  <c r="AC22" i="20" s="1"/>
  <c r="Z22" i="20"/>
  <c r="AB22" i="20" s="1"/>
  <c r="AA21" i="20"/>
  <c r="AC21" i="20" s="1"/>
  <c r="Z21" i="20"/>
  <c r="AB21" i="20" s="1"/>
  <c r="AA20" i="20"/>
  <c r="AC20" i="20" s="1"/>
  <c r="Z20" i="20"/>
  <c r="AB20" i="20" s="1"/>
  <c r="AA19" i="20"/>
  <c r="AC19" i="20" s="1"/>
  <c r="Z19" i="20"/>
  <c r="AB19" i="20" s="1"/>
  <c r="AA18" i="20"/>
  <c r="AC18" i="20" s="1"/>
  <c r="Z18" i="20"/>
  <c r="AB18" i="20" s="1"/>
  <c r="AA17" i="20"/>
  <c r="AC17" i="20" s="1"/>
  <c r="Z17" i="20"/>
  <c r="AB17" i="20" s="1"/>
  <c r="AA16" i="20"/>
  <c r="AC16" i="20" s="1"/>
  <c r="Z16" i="20"/>
  <c r="AB16" i="20" s="1"/>
  <c r="AA15" i="20"/>
  <c r="AC15" i="20" s="1"/>
  <c r="Z15" i="20"/>
  <c r="AB15" i="20" s="1"/>
  <c r="AA14" i="20"/>
  <c r="AC14" i="20" s="1"/>
  <c r="Z14" i="20"/>
  <c r="AB14" i="20" s="1"/>
  <c r="AA13" i="20"/>
  <c r="AC13" i="20" s="1"/>
  <c r="Z13" i="20"/>
  <c r="AB13" i="20" s="1"/>
  <c r="AA12" i="20"/>
  <c r="AC12" i="20" s="1"/>
  <c r="Z12" i="20"/>
  <c r="AB12" i="20" s="1"/>
  <c r="AA11" i="20"/>
  <c r="AC11" i="20" s="1"/>
  <c r="Z11" i="20"/>
  <c r="AB11" i="20" s="1"/>
  <c r="AA10" i="20"/>
  <c r="AC10" i="20" s="1"/>
  <c r="Z10" i="20"/>
  <c r="AB10" i="20" s="1"/>
  <c r="AA9" i="20"/>
  <c r="AC9" i="20" s="1"/>
  <c r="Z9" i="20"/>
  <c r="AB9" i="20" s="1"/>
  <c r="AA8" i="20"/>
  <c r="AC8" i="20" s="1"/>
  <c r="Z8" i="20"/>
  <c r="AB8" i="20" s="1"/>
  <c r="AA7" i="20"/>
  <c r="AC7" i="20" s="1"/>
  <c r="Z7" i="20"/>
  <c r="AB7" i="20" s="1"/>
  <c r="W32" i="20"/>
  <c r="Y32" i="20" s="1"/>
  <c r="V32" i="20"/>
  <c r="X32" i="20" s="1"/>
  <c r="W31" i="20"/>
  <c r="Y31" i="20" s="1"/>
  <c r="V31" i="20"/>
  <c r="X31" i="20" s="1"/>
  <c r="W30" i="20"/>
  <c r="Y30" i="20" s="1"/>
  <c r="V30" i="20"/>
  <c r="X30" i="20" s="1"/>
  <c r="W29" i="20"/>
  <c r="Y29" i="20" s="1"/>
  <c r="V29" i="20"/>
  <c r="X29" i="20" s="1"/>
  <c r="W28" i="20"/>
  <c r="Y28" i="20" s="1"/>
  <c r="V28" i="20"/>
  <c r="X28" i="20" s="1"/>
  <c r="W27" i="20"/>
  <c r="Y27" i="20" s="1"/>
  <c r="V27" i="20"/>
  <c r="X27" i="20" s="1"/>
  <c r="W26" i="20"/>
  <c r="Y26" i="20" s="1"/>
  <c r="V26" i="20"/>
  <c r="X26" i="20" s="1"/>
  <c r="W25" i="20"/>
  <c r="Y25" i="20" s="1"/>
  <c r="V25" i="20"/>
  <c r="X25" i="20" s="1"/>
  <c r="W24" i="20"/>
  <c r="Y24" i="20" s="1"/>
  <c r="V24" i="20"/>
  <c r="X24" i="20" s="1"/>
  <c r="W23" i="20"/>
  <c r="Y23" i="20" s="1"/>
  <c r="V23" i="20"/>
  <c r="X23" i="20" s="1"/>
  <c r="W22" i="20"/>
  <c r="Y22" i="20" s="1"/>
  <c r="V22" i="20"/>
  <c r="X22" i="20" s="1"/>
  <c r="W21" i="20"/>
  <c r="Y21" i="20" s="1"/>
  <c r="V21" i="20"/>
  <c r="X21" i="20" s="1"/>
  <c r="W20" i="20"/>
  <c r="Y20" i="20" s="1"/>
  <c r="V20" i="20"/>
  <c r="X20" i="20" s="1"/>
  <c r="W19" i="20"/>
  <c r="Y19" i="20" s="1"/>
  <c r="V19" i="20"/>
  <c r="X19" i="20" s="1"/>
  <c r="W18" i="20"/>
  <c r="Y18" i="20" s="1"/>
  <c r="V18" i="20"/>
  <c r="X18" i="20" s="1"/>
  <c r="W17" i="20"/>
  <c r="Y17" i="20" s="1"/>
  <c r="V17" i="20"/>
  <c r="X17" i="20" s="1"/>
  <c r="W16" i="20"/>
  <c r="Y16" i="20" s="1"/>
  <c r="V16" i="20"/>
  <c r="X16" i="20" s="1"/>
  <c r="W15" i="20"/>
  <c r="Y15" i="20" s="1"/>
  <c r="V15" i="20"/>
  <c r="X15" i="20" s="1"/>
  <c r="W14" i="20"/>
  <c r="Y14" i="20" s="1"/>
  <c r="V14" i="20"/>
  <c r="X14" i="20" s="1"/>
  <c r="W13" i="20"/>
  <c r="Y13" i="20" s="1"/>
  <c r="V13" i="20"/>
  <c r="X13" i="20" s="1"/>
  <c r="W12" i="20"/>
  <c r="Y12" i="20" s="1"/>
  <c r="V12" i="20"/>
  <c r="X12" i="20" s="1"/>
  <c r="W11" i="20"/>
  <c r="Y11" i="20" s="1"/>
  <c r="V11" i="20"/>
  <c r="X11" i="20" s="1"/>
  <c r="W10" i="20"/>
  <c r="Y10" i="20" s="1"/>
  <c r="V10" i="20"/>
  <c r="X10" i="20" s="1"/>
  <c r="W9" i="20"/>
  <c r="Y9" i="20" s="1"/>
  <c r="V9" i="20"/>
  <c r="X9" i="20" s="1"/>
  <c r="W8" i="20"/>
  <c r="Y8" i="20" s="1"/>
  <c r="V8" i="20"/>
  <c r="X8" i="20" s="1"/>
  <c r="W7" i="20"/>
  <c r="Y7" i="20" s="1"/>
  <c r="V7" i="20"/>
  <c r="X7" i="20" s="1"/>
  <c r="S32" i="20"/>
  <c r="U32" i="20" s="1"/>
  <c r="R32" i="20"/>
  <c r="T32" i="20" s="1"/>
  <c r="S31" i="20"/>
  <c r="U31" i="20" s="1"/>
  <c r="R31" i="20"/>
  <c r="T31" i="20" s="1"/>
  <c r="S30" i="20"/>
  <c r="U30" i="20" s="1"/>
  <c r="R30" i="20"/>
  <c r="T30" i="20" s="1"/>
  <c r="S29" i="20"/>
  <c r="U29" i="20" s="1"/>
  <c r="R29" i="20"/>
  <c r="T29" i="20" s="1"/>
  <c r="S28" i="20"/>
  <c r="U28" i="20" s="1"/>
  <c r="R28" i="20"/>
  <c r="T28" i="20" s="1"/>
  <c r="S27" i="20"/>
  <c r="U27" i="20" s="1"/>
  <c r="R27" i="20"/>
  <c r="T27" i="20" s="1"/>
  <c r="S26" i="20"/>
  <c r="U26" i="20" s="1"/>
  <c r="R26" i="20"/>
  <c r="T26" i="20" s="1"/>
  <c r="S25" i="20"/>
  <c r="U25" i="20" s="1"/>
  <c r="R25" i="20"/>
  <c r="T25" i="20" s="1"/>
  <c r="S24" i="20"/>
  <c r="U24" i="20" s="1"/>
  <c r="R24" i="20"/>
  <c r="T24" i="20" s="1"/>
  <c r="S23" i="20"/>
  <c r="U23" i="20" s="1"/>
  <c r="R23" i="20"/>
  <c r="T23" i="20" s="1"/>
  <c r="S22" i="20"/>
  <c r="U22" i="20" s="1"/>
  <c r="R22" i="20"/>
  <c r="T22" i="20" s="1"/>
  <c r="S21" i="20"/>
  <c r="U21" i="20" s="1"/>
  <c r="R21" i="20"/>
  <c r="T21" i="20" s="1"/>
  <c r="S20" i="20"/>
  <c r="U20" i="20" s="1"/>
  <c r="R20" i="20"/>
  <c r="T20" i="20" s="1"/>
  <c r="S19" i="20"/>
  <c r="U19" i="20" s="1"/>
  <c r="R19" i="20"/>
  <c r="T19" i="20" s="1"/>
  <c r="S18" i="20"/>
  <c r="U18" i="20" s="1"/>
  <c r="R18" i="20"/>
  <c r="T18" i="20" s="1"/>
  <c r="S17" i="20"/>
  <c r="U17" i="20" s="1"/>
  <c r="R17" i="20"/>
  <c r="T17" i="20" s="1"/>
  <c r="S16" i="20"/>
  <c r="U16" i="20" s="1"/>
  <c r="R16" i="20"/>
  <c r="T16" i="20" s="1"/>
  <c r="S15" i="20"/>
  <c r="U15" i="20" s="1"/>
  <c r="R15" i="20"/>
  <c r="T15" i="20" s="1"/>
  <c r="S14" i="20"/>
  <c r="U14" i="20" s="1"/>
  <c r="R14" i="20"/>
  <c r="T14" i="20" s="1"/>
  <c r="S13" i="20"/>
  <c r="U13" i="20" s="1"/>
  <c r="R13" i="20"/>
  <c r="T13" i="20" s="1"/>
  <c r="S12" i="20"/>
  <c r="U12" i="20" s="1"/>
  <c r="R12" i="20"/>
  <c r="T12" i="20" s="1"/>
  <c r="S11" i="20"/>
  <c r="U11" i="20" s="1"/>
  <c r="R11" i="20"/>
  <c r="T11" i="20" s="1"/>
  <c r="S10" i="20"/>
  <c r="U10" i="20" s="1"/>
  <c r="R10" i="20"/>
  <c r="T10" i="20" s="1"/>
  <c r="S9" i="20"/>
  <c r="U9" i="20" s="1"/>
  <c r="R9" i="20"/>
  <c r="T9" i="20" s="1"/>
  <c r="S8" i="20"/>
  <c r="U8" i="20" s="1"/>
  <c r="R8" i="20"/>
  <c r="T8" i="20" s="1"/>
  <c r="S7" i="20"/>
  <c r="U7" i="20" s="1"/>
  <c r="R7" i="20"/>
  <c r="T7" i="20" s="1"/>
  <c r="O32" i="20"/>
  <c r="Q32" i="20" s="1"/>
  <c r="N32" i="20"/>
  <c r="P32" i="20" s="1"/>
  <c r="O31" i="20"/>
  <c r="Q31" i="20" s="1"/>
  <c r="N31" i="20"/>
  <c r="P31" i="20" s="1"/>
  <c r="O30" i="20"/>
  <c r="Q30" i="20" s="1"/>
  <c r="N30" i="20"/>
  <c r="P30" i="20" s="1"/>
  <c r="O29" i="20"/>
  <c r="Q29" i="20" s="1"/>
  <c r="N29" i="20"/>
  <c r="P29" i="20" s="1"/>
  <c r="O28" i="20"/>
  <c r="Q28" i="20" s="1"/>
  <c r="N28" i="20"/>
  <c r="P28" i="20" s="1"/>
  <c r="O27" i="20"/>
  <c r="Q27" i="20" s="1"/>
  <c r="N27" i="20"/>
  <c r="P27" i="20" s="1"/>
  <c r="O26" i="20"/>
  <c r="Q26" i="20" s="1"/>
  <c r="N26" i="20"/>
  <c r="P26" i="20" s="1"/>
  <c r="O25" i="20"/>
  <c r="Q25" i="20" s="1"/>
  <c r="N25" i="20"/>
  <c r="P25" i="20" s="1"/>
  <c r="O24" i="20"/>
  <c r="Q24" i="20" s="1"/>
  <c r="N24" i="20"/>
  <c r="P24" i="20" s="1"/>
  <c r="O23" i="20"/>
  <c r="Q23" i="20" s="1"/>
  <c r="N23" i="20"/>
  <c r="P23" i="20" s="1"/>
  <c r="O22" i="20"/>
  <c r="Q22" i="20" s="1"/>
  <c r="N22" i="20"/>
  <c r="P22" i="20" s="1"/>
  <c r="O21" i="20"/>
  <c r="Q21" i="20" s="1"/>
  <c r="N21" i="20"/>
  <c r="P21" i="20" s="1"/>
  <c r="O20" i="20"/>
  <c r="Q20" i="20" s="1"/>
  <c r="N20" i="20"/>
  <c r="P20" i="20" s="1"/>
  <c r="O19" i="20"/>
  <c r="Q19" i="20" s="1"/>
  <c r="N19" i="20"/>
  <c r="P19" i="20" s="1"/>
  <c r="O18" i="20"/>
  <c r="Q18" i="20" s="1"/>
  <c r="N18" i="20"/>
  <c r="P18" i="20" s="1"/>
  <c r="O17" i="20"/>
  <c r="Q17" i="20" s="1"/>
  <c r="N17" i="20"/>
  <c r="P17" i="20" s="1"/>
  <c r="O16" i="20"/>
  <c r="Q16" i="20" s="1"/>
  <c r="N16" i="20"/>
  <c r="P16" i="20" s="1"/>
  <c r="O15" i="20"/>
  <c r="Q15" i="20" s="1"/>
  <c r="N15" i="20"/>
  <c r="P15" i="20" s="1"/>
  <c r="O14" i="20"/>
  <c r="Q14" i="20" s="1"/>
  <c r="N14" i="20"/>
  <c r="P14" i="20" s="1"/>
  <c r="O13" i="20"/>
  <c r="Q13" i="20" s="1"/>
  <c r="N13" i="20"/>
  <c r="P13" i="20" s="1"/>
  <c r="O12" i="20"/>
  <c r="Q12" i="20" s="1"/>
  <c r="N12" i="20"/>
  <c r="P12" i="20" s="1"/>
  <c r="O11" i="20"/>
  <c r="Q11" i="20" s="1"/>
  <c r="N11" i="20"/>
  <c r="P11" i="20" s="1"/>
  <c r="O10" i="20"/>
  <c r="Q10" i="20" s="1"/>
  <c r="N10" i="20"/>
  <c r="P10" i="20" s="1"/>
  <c r="O9" i="20"/>
  <c r="Q9" i="20" s="1"/>
  <c r="N9" i="20"/>
  <c r="P9" i="20" s="1"/>
  <c r="O8" i="20"/>
  <c r="Q8" i="20" s="1"/>
  <c r="N8" i="20"/>
  <c r="P8" i="20" s="1"/>
  <c r="O7" i="20"/>
  <c r="Q7" i="20" s="1"/>
  <c r="N7" i="20"/>
  <c r="P7" i="20" s="1"/>
  <c r="K32" i="20"/>
  <c r="M32" i="20" s="1"/>
  <c r="J32" i="20"/>
  <c r="L32" i="20" s="1"/>
  <c r="K31" i="20"/>
  <c r="M31" i="20" s="1"/>
  <c r="J31" i="20"/>
  <c r="L31" i="20" s="1"/>
  <c r="K30" i="20"/>
  <c r="M30" i="20" s="1"/>
  <c r="J30" i="20"/>
  <c r="L30" i="20" s="1"/>
  <c r="K29" i="20"/>
  <c r="M29" i="20" s="1"/>
  <c r="J29" i="20"/>
  <c r="L29" i="20" s="1"/>
  <c r="K28" i="20"/>
  <c r="M28" i="20" s="1"/>
  <c r="J28" i="20"/>
  <c r="L28" i="20" s="1"/>
  <c r="K27" i="20"/>
  <c r="M27" i="20" s="1"/>
  <c r="J27" i="20"/>
  <c r="L27" i="20" s="1"/>
  <c r="K26" i="20"/>
  <c r="M26" i="20" s="1"/>
  <c r="J26" i="20"/>
  <c r="L26" i="20" s="1"/>
  <c r="K25" i="20"/>
  <c r="M25" i="20" s="1"/>
  <c r="J25" i="20"/>
  <c r="L25" i="20" s="1"/>
  <c r="K24" i="20"/>
  <c r="M24" i="20" s="1"/>
  <c r="J24" i="20"/>
  <c r="L24" i="20" s="1"/>
  <c r="K23" i="20"/>
  <c r="M23" i="20" s="1"/>
  <c r="J23" i="20"/>
  <c r="L23" i="20" s="1"/>
  <c r="K22" i="20"/>
  <c r="M22" i="20" s="1"/>
  <c r="J22" i="20"/>
  <c r="L22" i="20" s="1"/>
  <c r="K21" i="20"/>
  <c r="M21" i="20" s="1"/>
  <c r="J21" i="20"/>
  <c r="L21" i="20" s="1"/>
  <c r="K20" i="20"/>
  <c r="M20" i="20" s="1"/>
  <c r="J20" i="20"/>
  <c r="L20" i="20" s="1"/>
  <c r="K19" i="20"/>
  <c r="M19" i="20" s="1"/>
  <c r="J19" i="20"/>
  <c r="L19" i="20" s="1"/>
  <c r="K18" i="20"/>
  <c r="M18" i="20" s="1"/>
  <c r="J18" i="20"/>
  <c r="L18" i="20" s="1"/>
  <c r="K17" i="20"/>
  <c r="M17" i="20" s="1"/>
  <c r="J17" i="20"/>
  <c r="L17" i="20" s="1"/>
  <c r="K16" i="20"/>
  <c r="M16" i="20" s="1"/>
  <c r="J16" i="20"/>
  <c r="L16" i="20" s="1"/>
  <c r="K15" i="20"/>
  <c r="M15" i="20" s="1"/>
  <c r="J15" i="20"/>
  <c r="L15" i="20" s="1"/>
  <c r="K14" i="20"/>
  <c r="M14" i="20" s="1"/>
  <c r="J14" i="20"/>
  <c r="L14" i="20" s="1"/>
  <c r="K13" i="20"/>
  <c r="M13" i="20" s="1"/>
  <c r="J13" i="20"/>
  <c r="L13" i="20" s="1"/>
  <c r="K12" i="20"/>
  <c r="M12" i="20" s="1"/>
  <c r="J12" i="20"/>
  <c r="L12" i="20" s="1"/>
  <c r="K11" i="20"/>
  <c r="M11" i="20" s="1"/>
  <c r="J11" i="20"/>
  <c r="L11" i="20" s="1"/>
  <c r="K10" i="20"/>
  <c r="M10" i="20" s="1"/>
  <c r="J10" i="20"/>
  <c r="L10" i="20" s="1"/>
  <c r="K9" i="20"/>
  <c r="M9" i="20" s="1"/>
  <c r="J9" i="20"/>
  <c r="L9" i="20" s="1"/>
  <c r="K8" i="20"/>
  <c r="M8" i="20" s="1"/>
  <c r="J8" i="20"/>
  <c r="L8" i="20" s="1"/>
  <c r="K7" i="20"/>
  <c r="M7" i="20" s="1"/>
  <c r="J7" i="20"/>
  <c r="L7" i="20" s="1"/>
  <c r="G32" i="20"/>
  <c r="I32" i="20" s="1"/>
  <c r="F32" i="20"/>
  <c r="H32" i="20" s="1"/>
  <c r="G31" i="20"/>
  <c r="I31" i="20" s="1"/>
  <c r="F31" i="20"/>
  <c r="H31" i="20" s="1"/>
  <c r="G30" i="20"/>
  <c r="I30" i="20" s="1"/>
  <c r="F30" i="20"/>
  <c r="H30" i="20" s="1"/>
  <c r="G29" i="20"/>
  <c r="I29" i="20" s="1"/>
  <c r="F29" i="20"/>
  <c r="H29" i="20" s="1"/>
  <c r="G28" i="20"/>
  <c r="I28" i="20" s="1"/>
  <c r="F28" i="20"/>
  <c r="H28" i="20" s="1"/>
  <c r="G27" i="20"/>
  <c r="I27" i="20" s="1"/>
  <c r="F27" i="20"/>
  <c r="H27" i="20" s="1"/>
  <c r="G26" i="20"/>
  <c r="I26" i="20" s="1"/>
  <c r="F26" i="20"/>
  <c r="H26" i="20" s="1"/>
  <c r="G25" i="20"/>
  <c r="I25" i="20" s="1"/>
  <c r="F25" i="20"/>
  <c r="H25" i="20" s="1"/>
  <c r="G24" i="20"/>
  <c r="I24" i="20" s="1"/>
  <c r="F24" i="20"/>
  <c r="H24" i="20" s="1"/>
  <c r="G23" i="20"/>
  <c r="I23" i="20" s="1"/>
  <c r="F23" i="20"/>
  <c r="H23" i="20" s="1"/>
  <c r="G22" i="20"/>
  <c r="I22" i="20" s="1"/>
  <c r="F22" i="20"/>
  <c r="H22" i="20" s="1"/>
  <c r="G21" i="20"/>
  <c r="I21" i="20" s="1"/>
  <c r="F21" i="20"/>
  <c r="H21" i="20" s="1"/>
  <c r="G20" i="20"/>
  <c r="I20" i="20" s="1"/>
  <c r="F20" i="20"/>
  <c r="H20" i="20" s="1"/>
  <c r="G19" i="20"/>
  <c r="I19" i="20" s="1"/>
  <c r="F19" i="20"/>
  <c r="H19" i="20" s="1"/>
  <c r="G18" i="20"/>
  <c r="I18" i="20" s="1"/>
  <c r="F18" i="20"/>
  <c r="H18" i="20" s="1"/>
  <c r="G17" i="20"/>
  <c r="I17" i="20" s="1"/>
  <c r="F17" i="20"/>
  <c r="H17" i="20" s="1"/>
  <c r="G16" i="20"/>
  <c r="I16" i="20" s="1"/>
  <c r="F16" i="20"/>
  <c r="H16" i="20" s="1"/>
  <c r="G15" i="20"/>
  <c r="I15" i="20" s="1"/>
  <c r="F15" i="20"/>
  <c r="H15" i="20" s="1"/>
  <c r="G14" i="20"/>
  <c r="I14" i="20" s="1"/>
  <c r="F14" i="20"/>
  <c r="H14" i="20" s="1"/>
  <c r="G13" i="20"/>
  <c r="I13" i="20" s="1"/>
  <c r="F13" i="20"/>
  <c r="H13" i="20" s="1"/>
  <c r="G12" i="20"/>
  <c r="I12" i="20" s="1"/>
  <c r="F12" i="20"/>
  <c r="H12" i="20" s="1"/>
  <c r="G11" i="20"/>
  <c r="I11" i="20" s="1"/>
  <c r="F11" i="20"/>
  <c r="H11" i="20" s="1"/>
  <c r="G10" i="20"/>
  <c r="I10" i="20" s="1"/>
  <c r="F10" i="20"/>
  <c r="H10" i="20" s="1"/>
  <c r="G9" i="20"/>
  <c r="I9" i="20" s="1"/>
  <c r="F9" i="20"/>
  <c r="H9" i="20" s="1"/>
  <c r="G8" i="20"/>
  <c r="I8" i="20" s="1"/>
  <c r="F8" i="20"/>
  <c r="H8" i="20" s="1"/>
  <c r="G7" i="20"/>
  <c r="I7" i="20" s="1"/>
  <c r="F7" i="20"/>
  <c r="H7" i="20" s="1"/>
  <c r="B7" i="20"/>
  <c r="D7" i="20" s="1"/>
  <c r="C7" i="20"/>
  <c r="E7" i="20" s="1"/>
  <c r="B8" i="20"/>
  <c r="D8" i="20" s="1"/>
  <c r="C8" i="20"/>
  <c r="E8" i="20" s="1"/>
  <c r="B9" i="20"/>
  <c r="D9" i="20" s="1"/>
  <c r="C9" i="20"/>
  <c r="E9" i="20" s="1"/>
  <c r="B10" i="20"/>
  <c r="D10" i="20" s="1"/>
  <c r="C10" i="20"/>
  <c r="E10" i="20" s="1"/>
  <c r="B11" i="20"/>
  <c r="C11" i="20"/>
  <c r="E11" i="20" s="1"/>
  <c r="B12" i="20"/>
  <c r="D12" i="20" s="1"/>
  <c r="C12" i="20"/>
  <c r="E12" i="20" s="1"/>
  <c r="B13" i="20"/>
  <c r="D13" i="20" s="1"/>
  <c r="C13" i="20"/>
  <c r="E13" i="20" s="1"/>
  <c r="B14" i="20"/>
  <c r="D14" i="20" s="1"/>
  <c r="C14" i="20"/>
  <c r="E14" i="20" s="1"/>
  <c r="B15" i="20"/>
  <c r="D15" i="20" s="1"/>
  <c r="C15" i="20"/>
  <c r="E15" i="20" s="1"/>
  <c r="B16" i="20"/>
  <c r="D16" i="20" s="1"/>
  <c r="C16" i="20"/>
  <c r="E16" i="20" s="1"/>
  <c r="B17" i="20"/>
  <c r="D17" i="20" s="1"/>
  <c r="C17" i="20"/>
  <c r="E17" i="20" s="1"/>
  <c r="B18" i="20"/>
  <c r="D18" i="20" s="1"/>
  <c r="C18" i="20"/>
  <c r="E18" i="20" s="1"/>
  <c r="B19" i="20"/>
  <c r="D19" i="20" s="1"/>
  <c r="C19" i="20"/>
  <c r="E19" i="20" s="1"/>
  <c r="B20" i="20"/>
  <c r="D20" i="20" s="1"/>
  <c r="C20" i="20"/>
  <c r="E20" i="20" s="1"/>
  <c r="B21" i="20"/>
  <c r="D21" i="20" s="1"/>
  <c r="C21" i="20"/>
  <c r="E21" i="20" s="1"/>
  <c r="B22" i="20"/>
  <c r="D22" i="20" s="1"/>
  <c r="C22" i="20"/>
  <c r="E22" i="20" s="1"/>
  <c r="B23" i="20"/>
  <c r="D23" i="20" s="1"/>
  <c r="C23" i="20"/>
  <c r="E23" i="20" s="1"/>
  <c r="B24" i="20"/>
  <c r="D24" i="20" s="1"/>
  <c r="C24" i="20"/>
  <c r="E24" i="20" s="1"/>
  <c r="B25" i="20"/>
  <c r="D25" i="20" s="1"/>
  <c r="C25" i="20"/>
  <c r="E25" i="20" s="1"/>
  <c r="B26" i="20"/>
  <c r="D26" i="20" s="1"/>
  <c r="C26" i="20"/>
  <c r="E26" i="20" s="1"/>
  <c r="B27" i="20"/>
  <c r="D27" i="20" s="1"/>
  <c r="C27" i="20"/>
  <c r="E27" i="20" s="1"/>
  <c r="B28" i="20"/>
  <c r="D28" i="20" s="1"/>
  <c r="C28" i="20"/>
  <c r="E28" i="20" s="1"/>
  <c r="B29" i="20"/>
  <c r="D29" i="20" s="1"/>
  <c r="C29" i="20"/>
  <c r="E29" i="20" s="1"/>
  <c r="B30" i="20"/>
  <c r="D30" i="20" s="1"/>
  <c r="C30" i="20"/>
  <c r="E30" i="20" s="1"/>
  <c r="B31" i="20"/>
  <c r="D31" i="20" s="1"/>
  <c r="C31" i="20"/>
  <c r="E31" i="20" s="1"/>
  <c r="B32" i="20"/>
  <c r="D32" i="20" s="1"/>
  <c r="C32" i="20"/>
  <c r="E32" i="20" s="1"/>
  <c r="I37" i="20"/>
  <c r="H37" i="20"/>
  <c r="I36" i="20"/>
  <c r="H36" i="20"/>
  <c r="F5" i="20"/>
  <c r="BZ5" i="20"/>
  <c r="BV5" i="20"/>
  <c r="BR5" i="20"/>
  <c r="BN5" i="20"/>
  <c r="BJ5" i="20"/>
  <c r="BF5" i="20"/>
  <c r="BB5" i="20"/>
  <c r="AX5" i="20"/>
  <c r="AP5" i="20"/>
  <c r="AL5" i="20"/>
  <c r="AH5" i="20"/>
  <c r="AD5" i="20"/>
  <c r="Z5" i="20"/>
  <c r="V5" i="20"/>
  <c r="R5" i="20"/>
  <c r="N5" i="20"/>
  <c r="J5" i="20"/>
  <c r="EY5" i="20"/>
  <c r="EM5" i="20"/>
  <c r="EA5" i="20"/>
  <c r="DO5" i="20"/>
  <c r="DC5" i="20"/>
  <c r="CQ5" i="20"/>
  <c r="CK5" i="20"/>
  <c r="CE5" i="20"/>
  <c r="CP37" i="20"/>
  <c r="CN37" i="20"/>
  <c r="CV37" i="20"/>
  <c r="CT37" i="20"/>
  <c r="FD37" i="20"/>
  <c r="FB37" i="20"/>
  <c r="ER37" i="20"/>
  <c r="EP37" i="20"/>
  <c r="CC37" i="20"/>
  <c r="CB37" i="20"/>
  <c r="BU37" i="20"/>
  <c r="BT37" i="20"/>
  <c r="BQ37" i="20"/>
  <c r="BP37" i="20"/>
  <c r="BM37" i="20"/>
  <c r="BL37" i="20"/>
  <c r="BI37" i="20"/>
  <c r="BH37" i="20"/>
  <c r="BE37" i="20"/>
  <c r="BD37" i="20"/>
  <c r="BA37" i="20"/>
  <c r="AZ37" i="20"/>
  <c r="AS37" i="20"/>
  <c r="AR37" i="20"/>
  <c r="AO37" i="20"/>
  <c r="AN37" i="20"/>
  <c r="AO36" i="20"/>
  <c r="AN36" i="20"/>
  <c r="AK37" i="20"/>
  <c r="AJ37" i="20"/>
  <c r="AK36" i="20"/>
  <c r="AJ36" i="20"/>
  <c r="AG37" i="20"/>
  <c r="AF37" i="20"/>
  <c r="AG36" i="20"/>
  <c r="AF36" i="20"/>
  <c r="AC37" i="20"/>
  <c r="AB37" i="20"/>
  <c r="AC36" i="20"/>
  <c r="AB36" i="20"/>
  <c r="Y37" i="20"/>
  <c r="X37" i="20"/>
  <c r="Y36" i="20"/>
  <c r="X36" i="20"/>
  <c r="U37" i="20"/>
  <c r="T37" i="20"/>
  <c r="U36" i="20"/>
  <c r="T36" i="20"/>
  <c r="Q37" i="20"/>
  <c r="P37" i="20"/>
  <c r="Q36" i="20"/>
  <c r="P36" i="20"/>
  <c r="M37" i="20"/>
  <c r="L37" i="20"/>
  <c r="M36" i="20"/>
  <c r="L36" i="20"/>
  <c r="E37" i="20"/>
  <c r="E36" i="20"/>
  <c r="CF7" i="20" l="1"/>
  <c r="CI7" i="20" s="1"/>
  <c r="CH7" i="20"/>
  <c r="CF9" i="20"/>
  <c r="CI9" i="20" s="1"/>
  <c r="CH9" i="20"/>
  <c r="CF11" i="20"/>
  <c r="CI11" i="20" s="1"/>
  <c r="CH11" i="20"/>
  <c r="CF13" i="20"/>
  <c r="CI13" i="20" s="1"/>
  <c r="CH13" i="20"/>
  <c r="CH15" i="20"/>
  <c r="CF15" i="20"/>
  <c r="CI15" i="20" s="1"/>
  <c r="CF17" i="20"/>
  <c r="CI17" i="20" s="1"/>
  <c r="CH17" i="20"/>
  <c r="CH19" i="20"/>
  <c r="CF19" i="20"/>
  <c r="CI19" i="20" s="1"/>
  <c r="CF21" i="20"/>
  <c r="CI21" i="20" s="1"/>
  <c r="CH21" i="20"/>
  <c r="CF23" i="20"/>
  <c r="CI23" i="20" s="1"/>
  <c r="CH23" i="20"/>
  <c r="CF25" i="20"/>
  <c r="CI25" i="20" s="1"/>
  <c r="CH25" i="20"/>
  <c r="CF27" i="20"/>
  <c r="CI27" i="20" s="1"/>
  <c r="CH27" i="20"/>
  <c r="CF29" i="20"/>
  <c r="CI29" i="20" s="1"/>
  <c r="CH29" i="20"/>
  <c r="CH31" i="20"/>
  <c r="CF31" i="20"/>
  <c r="CI31" i="20" s="1"/>
  <c r="CH8" i="20"/>
  <c r="CF8" i="20"/>
  <c r="CI8" i="20" s="1"/>
  <c r="CF10" i="20"/>
  <c r="CI10" i="20" s="1"/>
  <c r="CH10" i="20"/>
  <c r="CH12" i="20"/>
  <c r="CF12" i="20"/>
  <c r="CI12" i="20" s="1"/>
  <c r="CH14" i="20"/>
  <c r="CF14" i="20"/>
  <c r="CI14" i="20" s="1"/>
  <c r="CH16" i="20"/>
  <c r="CF16" i="20"/>
  <c r="CI16" i="20" s="1"/>
  <c r="CF18" i="20"/>
  <c r="CI18" i="20" s="1"/>
  <c r="CH18" i="20"/>
  <c r="CH20" i="20"/>
  <c r="CF20" i="20"/>
  <c r="CI20" i="20" s="1"/>
  <c r="CH22" i="20"/>
  <c r="CF22" i="20"/>
  <c r="CI22" i="20" s="1"/>
  <c r="CF24" i="20"/>
  <c r="CI24" i="20" s="1"/>
  <c r="CH24" i="20"/>
  <c r="CF26" i="20"/>
  <c r="CI26" i="20" s="1"/>
  <c r="CH26" i="20"/>
  <c r="CH28" i="20"/>
  <c r="CF28" i="20"/>
  <c r="CI28" i="20" s="1"/>
  <c r="CH30" i="20"/>
  <c r="CF30" i="20"/>
  <c r="CI30" i="20" s="1"/>
  <c r="BM4" i="31"/>
  <c r="BM5" i="31"/>
  <c r="BM6" i="31"/>
  <c r="Y6" i="31"/>
  <c r="BM7" i="31"/>
  <c r="BM8" i="31"/>
  <c r="Y8" i="31"/>
  <c r="BM13" i="31"/>
  <c r="AQ18" i="31"/>
  <c r="AQ19" i="31"/>
  <c r="AQ20" i="31"/>
  <c r="AQ21" i="31"/>
  <c r="AQ22" i="31"/>
  <c r="AQ23" i="31"/>
  <c r="AQ24" i="31"/>
  <c r="AQ25" i="31"/>
  <c r="AQ26" i="31"/>
  <c r="BE21" i="31" l="1"/>
  <c r="BF21" i="31"/>
  <c r="BD21" i="31"/>
  <c r="AY11" i="13"/>
  <c r="BE5" i="31"/>
  <c r="BF5" i="31"/>
  <c r="BD5" i="31"/>
  <c r="BF26" i="31"/>
  <c r="BE26" i="31"/>
  <c r="BD26" i="31"/>
  <c r="AS25" i="31"/>
  <c r="AT25" i="31"/>
  <c r="AR25" i="31"/>
  <c r="BF20" i="31"/>
  <c r="BE20" i="31"/>
  <c r="BD20" i="31"/>
  <c r="AS19" i="31"/>
  <c r="AT19" i="31"/>
  <c r="AR19" i="31"/>
  <c r="AT15" i="31"/>
  <c r="AS15" i="31"/>
  <c r="AR15" i="31"/>
  <c r="AR7" i="31"/>
  <c r="AY13" i="13"/>
  <c r="BF7" i="31"/>
  <c r="BE7" i="31"/>
  <c r="BD7" i="31"/>
  <c r="AR6" i="31"/>
  <c r="AY12" i="13"/>
  <c r="BF6" i="31"/>
  <c r="BE6" i="31"/>
  <c r="BD6" i="31"/>
  <c r="BF15" i="31"/>
  <c r="BE15" i="31"/>
  <c r="BD15" i="31"/>
  <c r="BF25" i="31"/>
  <c r="BE25" i="31"/>
  <c r="BD25" i="31"/>
  <c r="AT24" i="31"/>
  <c r="AS24" i="31"/>
  <c r="AR24" i="31"/>
  <c r="BF19" i="31"/>
  <c r="BE19" i="31"/>
  <c r="BD19" i="31"/>
  <c r="AR16" i="31"/>
  <c r="BF24" i="31"/>
  <c r="BE24" i="31"/>
  <c r="BD24" i="31"/>
  <c r="AT23" i="31"/>
  <c r="AS23" i="31"/>
  <c r="AR23" i="31"/>
  <c r="BF18" i="31"/>
  <c r="BE18" i="31"/>
  <c r="BD18" i="31"/>
  <c r="BE17" i="31"/>
  <c r="BF17" i="31"/>
  <c r="BD17" i="31"/>
  <c r="BE16" i="31"/>
  <c r="BF16" i="31"/>
  <c r="BD16" i="31"/>
  <c r="BF9" i="31"/>
  <c r="BE9" i="31"/>
  <c r="BD9" i="31"/>
  <c r="AR8" i="31"/>
  <c r="BF8" i="31"/>
  <c r="BE8" i="31"/>
  <c r="BD8" i="31"/>
  <c r="AR3" i="31"/>
  <c r="BF3" i="31"/>
  <c r="BD3" i="31"/>
  <c r="BF14" i="31"/>
  <c r="BD14" i="31"/>
  <c r="AR17" i="31"/>
  <c r="BF23" i="31"/>
  <c r="BE23" i="31"/>
  <c r="BD23" i="31"/>
  <c r="AS22" i="31"/>
  <c r="AT22" i="31"/>
  <c r="AR22" i="31"/>
  <c r="AT12" i="31"/>
  <c r="AS12" i="31"/>
  <c r="AR12" i="31"/>
  <c r="AS26" i="31"/>
  <c r="AT26" i="31"/>
  <c r="AR26" i="31"/>
  <c r="AS20" i="31"/>
  <c r="AT20" i="31"/>
  <c r="AR20" i="31"/>
  <c r="AT18" i="31"/>
  <c r="AS18" i="31"/>
  <c r="AR18" i="31"/>
  <c r="BF22" i="31"/>
  <c r="BE22" i="31"/>
  <c r="BD22" i="31"/>
  <c r="AS21" i="31"/>
  <c r="AT21" i="31"/>
  <c r="AR21" i="31"/>
  <c r="AR14" i="31"/>
  <c r="BE13" i="31"/>
  <c r="BF13" i="31"/>
  <c r="BD13" i="31"/>
  <c r="BF12" i="31"/>
  <c r="BE12" i="31"/>
  <c r="BD12" i="31"/>
  <c r="AT11" i="31"/>
  <c r="AS11" i="31"/>
  <c r="AR11" i="31"/>
  <c r="BE11" i="31"/>
  <c r="BF11" i="31"/>
  <c r="BD11" i="31"/>
  <c r="AT10" i="31"/>
  <c r="AS10" i="31"/>
  <c r="AR10" i="31"/>
  <c r="BF10" i="31"/>
  <c r="BE10" i="31"/>
  <c r="BD10" i="31"/>
  <c r="AY10" i="13"/>
  <c r="BF4" i="31"/>
  <c r="BD4" i="31"/>
  <c r="AY31" i="13"/>
  <c r="AY17" i="13"/>
  <c r="AY15" i="13"/>
  <c r="AY24" i="13"/>
  <c r="AY25" i="13"/>
  <c r="AY16" i="13"/>
  <c r="AY30" i="13"/>
  <c r="AY29" i="13"/>
  <c r="AY28" i="13"/>
  <c r="Y15" i="31"/>
  <c r="X15" i="31"/>
  <c r="AY27" i="13"/>
  <c r="AY19" i="13"/>
  <c r="AY23" i="13"/>
  <c r="AY22" i="13"/>
  <c r="AY32" i="13"/>
  <c r="AY26" i="13"/>
  <c r="AY18" i="13"/>
  <c r="AY14" i="13"/>
  <c r="R20" i="31"/>
  <c r="AD20" i="31"/>
  <c r="AC20" i="31"/>
  <c r="R23" i="31"/>
  <c r="AD23" i="31"/>
  <c r="AC23" i="31"/>
  <c r="R25" i="31"/>
  <c r="AD25" i="31"/>
  <c r="AC25" i="31"/>
  <c r="R24" i="31"/>
  <c r="AC24" i="31"/>
  <c r="AD24" i="31"/>
  <c r="R21" i="31"/>
  <c r="AD21" i="31"/>
  <c r="AC21" i="31"/>
  <c r="R18" i="31"/>
  <c r="AC18" i="31"/>
  <c r="AD18" i="31"/>
  <c r="R22" i="31"/>
  <c r="AC22" i="31"/>
  <c r="AD22" i="31"/>
  <c r="R26" i="31"/>
  <c r="AC26" i="31"/>
  <c r="AD26" i="31"/>
  <c r="AY21" i="13"/>
  <c r="AY20" i="13"/>
  <c r="R14" i="31"/>
  <c r="AD14" i="31"/>
  <c r="AC14" i="31"/>
  <c r="R9" i="31"/>
  <c r="AD9" i="31"/>
  <c r="AC9" i="31"/>
  <c r="R3" i="31"/>
  <c r="AD3" i="31"/>
  <c r="AC3" i="31"/>
  <c r="R15" i="31"/>
  <c r="AD15" i="31"/>
  <c r="AC15" i="31"/>
  <c r="R12" i="31"/>
  <c r="AD12" i="31"/>
  <c r="AC12" i="31"/>
  <c r="R11" i="31"/>
  <c r="AD11" i="31"/>
  <c r="AC11" i="31"/>
  <c r="R10" i="31"/>
  <c r="AD10" i="31"/>
  <c r="AC10" i="31"/>
  <c r="AQ11" i="31"/>
  <c r="BK3" i="31"/>
  <c r="BL3" i="31"/>
  <c r="BJ3" i="31"/>
  <c r="AQ10" i="31"/>
  <c r="BL5" i="31"/>
  <c r="BC5" i="31"/>
  <c r="BB5" i="31"/>
  <c r="BK5" i="31"/>
  <c r="BA5" i="31"/>
  <c r="BC4" i="31"/>
  <c r="BK4" i="31"/>
  <c r="BA4" i="31"/>
  <c r="BL4" i="31"/>
  <c r="BL25" i="31"/>
  <c r="BB25" i="31"/>
  <c r="BK25" i="31"/>
  <c r="BC25" i="31"/>
  <c r="BA25" i="31"/>
  <c r="BC24" i="31"/>
  <c r="BL24" i="31"/>
  <c r="BB24" i="31"/>
  <c r="BK24" i="31"/>
  <c r="BA24" i="31"/>
  <c r="BC23" i="31"/>
  <c r="BL23" i="31"/>
  <c r="BB23" i="31"/>
  <c r="BK23" i="31"/>
  <c r="BA23" i="31"/>
  <c r="BC22" i="31"/>
  <c r="BL22" i="31"/>
  <c r="BB22" i="31"/>
  <c r="BA22" i="31"/>
  <c r="BK22" i="31"/>
  <c r="BL21" i="31"/>
  <c r="BB21" i="31"/>
  <c r="BC21" i="31"/>
  <c r="BA21" i="31"/>
  <c r="BK21" i="31"/>
  <c r="BL20" i="31"/>
  <c r="BB20" i="31"/>
  <c r="BK20" i="31"/>
  <c r="BC20" i="31"/>
  <c r="BA20" i="31"/>
  <c r="BL19" i="31"/>
  <c r="BB19" i="31"/>
  <c r="BC19" i="31"/>
  <c r="BK19" i="31"/>
  <c r="BA19" i="31"/>
  <c r="BL18" i="31"/>
  <c r="BB18" i="31"/>
  <c r="BC18" i="31"/>
  <c r="BK18" i="31"/>
  <c r="BA18" i="31"/>
  <c r="BC17" i="31"/>
  <c r="BL17" i="31"/>
  <c r="BB17" i="31"/>
  <c r="BK17" i="31"/>
  <c r="BA17" i="31"/>
  <c r="BL16" i="31"/>
  <c r="BB16" i="31"/>
  <c r="BK16" i="31"/>
  <c r="BC16" i="31"/>
  <c r="BA16" i="31"/>
  <c r="BL15" i="31"/>
  <c r="BK15" i="31"/>
  <c r="BL14" i="31"/>
  <c r="BK14" i="31"/>
  <c r="BA14" i="31"/>
  <c r="BL13" i="31"/>
  <c r="BB13" i="31"/>
  <c r="BC13" i="31"/>
  <c r="BA13" i="31"/>
  <c r="BK13" i="31"/>
  <c r="BA12" i="31"/>
  <c r="BB12" i="31"/>
  <c r="BL12" i="31"/>
  <c r="BC12" i="31"/>
  <c r="BK12" i="31"/>
  <c r="BL11" i="31"/>
  <c r="BB11" i="31"/>
  <c r="BC11" i="31"/>
  <c r="BA11" i="31"/>
  <c r="BK11" i="31"/>
  <c r="BL10" i="31"/>
  <c r="BK10" i="31"/>
  <c r="BA10" i="31"/>
  <c r="BC9" i="31"/>
  <c r="BL9" i="31"/>
  <c r="BB9" i="31"/>
  <c r="BA9" i="31"/>
  <c r="BK9" i="31"/>
  <c r="BL8" i="31"/>
  <c r="BB8" i="31"/>
  <c r="BA8" i="31"/>
  <c r="BC8" i="31"/>
  <c r="BK8" i="31"/>
  <c r="BL7" i="31"/>
  <c r="BA7" i="31"/>
  <c r="BK7" i="31"/>
  <c r="BL6" i="31"/>
  <c r="BC6" i="31"/>
  <c r="BK6" i="31"/>
  <c r="BB6" i="31"/>
  <c r="BA6" i="31"/>
  <c r="BL26" i="31"/>
  <c r="BB26" i="31"/>
  <c r="BC26" i="31"/>
  <c r="BK26" i="31"/>
  <c r="BA26" i="31"/>
  <c r="BJ4" i="31"/>
  <c r="BJ5" i="31"/>
  <c r="BJ25" i="31"/>
  <c r="BJ24" i="31"/>
  <c r="BJ21" i="31"/>
  <c r="BJ20" i="31"/>
  <c r="BJ19" i="31"/>
  <c r="BJ16" i="31"/>
  <c r="BJ15" i="31"/>
  <c r="BJ13" i="31"/>
  <c r="BJ10" i="31"/>
  <c r="BJ9" i="31"/>
  <c r="BJ7" i="31"/>
  <c r="BJ6" i="31"/>
  <c r="BJ26" i="31"/>
  <c r="BJ23" i="31"/>
  <c r="BJ22" i="31"/>
  <c r="BJ18" i="31"/>
  <c r="BJ17" i="31"/>
  <c r="BJ14" i="31"/>
  <c r="BJ12" i="31"/>
  <c r="BJ11" i="31"/>
  <c r="BJ8" i="31"/>
  <c r="BM14" i="31"/>
  <c r="BM25" i="31"/>
  <c r="BM26" i="31"/>
  <c r="BM21" i="31"/>
  <c r="BM15" i="31"/>
  <c r="BM12" i="31"/>
  <c r="BM24" i="31"/>
  <c r="BM22" i="31"/>
  <c r="BM18" i="31"/>
  <c r="BM10" i="31"/>
  <c r="BM23" i="31"/>
  <c r="BM17" i="31"/>
  <c r="BM19" i="31"/>
  <c r="BM20" i="31"/>
  <c r="BM16" i="31"/>
  <c r="BM9" i="31"/>
  <c r="BM11" i="31"/>
  <c r="BM3" i="31"/>
  <c r="AU3" i="31" l="1"/>
  <c r="AL3" i="31"/>
  <c r="AW9" i="13"/>
  <c r="AQ3" i="31"/>
  <c r="BI3" i="31"/>
  <c r="BI7" i="31"/>
  <c r="BI14" i="31"/>
  <c r="BI5" i="31"/>
  <c r="BI18" i="31"/>
  <c r="BI26" i="31"/>
  <c r="BI6" i="31"/>
  <c r="BI4" i="31"/>
  <c r="BI23" i="31"/>
  <c r="BI24" i="31"/>
  <c r="AG26" i="31"/>
  <c r="AE26" i="31"/>
  <c r="AF26" i="31"/>
  <c r="AG18" i="31"/>
  <c r="AE18" i="31"/>
  <c r="AF18" i="31"/>
  <c r="AG24" i="31"/>
  <c r="AE24" i="31"/>
  <c r="AF24" i="31"/>
  <c r="AE23" i="31"/>
  <c r="AG23" i="31"/>
  <c r="AF23" i="31"/>
  <c r="AG22" i="31"/>
  <c r="AE22" i="31"/>
  <c r="AF22" i="31"/>
  <c r="AE21" i="31"/>
  <c r="AG21" i="31"/>
  <c r="AF21" i="31"/>
  <c r="AE25" i="31"/>
  <c r="AG25" i="31"/>
  <c r="AF25" i="31"/>
  <c r="AG20" i="31"/>
  <c r="AE20" i="31"/>
  <c r="AF20" i="31"/>
  <c r="R19" i="31"/>
  <c r="AD19" i="31"/>
  <c r="AC19" i="31"/>
  <c r="AF3" i="31"/>
  <c r="AE3" i="31"/>
  <c r="AG3" i="31"/>
  <c r="BC15" i="31"/>
  <c r="AE15" i="31"/>
  <c r="AF15" i="31"/>
  <c r="AG15" i="31"/>
  <c r="BC14" i="31"/>
  <c r="AE14" i="31"/>
  <c r="AF14" i="31"/>
  <c r="AG14" i="31"/>
  <c r="AE12" i="31"/>
  <c r="AF12" i="31"/>
  <c r="AG12" i="31"/>
  <c r="AF11" i="31"/>
  <c r="AG11" i="31"/>
  <c r="AE11" i="31"/>
  <c r="AF10" i="31"/>
  <c r="AG10" i="31"/>
  <c r="AE10" i="31"/>
  <c r="AE9" i="31"/>
  <c r="AF9" i="31"/>
  <c r="AG9" i="31"/>
  <c r="R17" i="31"/>
  <c r="AD17" i="31"/>
  <c r="AC17" i="31"/>
  <c r="R6" i="31"/>
  <c r="AD6" i="31"/>
  <c r="AC6" i="31"/>
  <c r="R7" i="31"/>
  <c r="AC7" i="31"/>
  <c r="AD7" i="31"/>
  <c r="R8" i="31"/>
  <c r="AD8" i="31"/>
  <c r="AC8" i="31"/>
  <c r="R16" i="31"/>
  <c r="AD16" i="31"/>
  <c r="AC16" i="31"/>
  <c r="R5" i="31"/>
  <c r="AD5" i="31"/>
  <c r="AC5" i="31"/>
  <c r="R13" i="31"/>
  <c r="AC13" i="31"/>
  <c r="AD13" i="31"/>
  <c r="R4" i="31"/>
  <c r="AD4" i="31"/>
  <c r="AC4" i="31"/>
  <c r="AY9" i="13"/>
  <c r="BC3" i="31"/>
  <c r="BC10" i="31"/>
  <c r="BC7" i="31"/>
  <c r="BI11" i="31"/>
  <c r="BI19" i="31"/>
  <c r="BI12" i="31"/>
  <c r="BI8" i="31"/>
  <c r="BI15" i="31"/>
  <c r="BI16" i="31"/>
  <c r="BI20" i="31"/>
  <c r="BI10" i="31"/>
  <c r="BI9" i="31"/>
  <c r="BI13" i="31"/>
  <c r="BI17" i="31"/>
  <c r="BI25" i="31"/>
  <c r="BI22" i="31"/>
  <c r="BI21" i="31"/>
  <c r="AN3" i="31" l="1"/>
  <c r="AW3" i="31"/>
  <c r="AT3" i="31"/>
  <c r="AW20" i="13"/>
  <c r="AW23" i="13"/>
  <c r="AN17" i="31"/>
  <c r="AW15" i="13"/>
  <c r="AW18" i="13"/>
  <c r="AW22" i="13"/>
  <c r="AW13" i="13"/>
  <c r="AW14" i="13"/>
  <c r="AW10" i="13"/>
  <c r="AN4" i="31"/>
  <c r="AZ3" i="31"/>
  <c r="AW19" i="13"/>
  <c r="AW11" i="13"/>
  <c r="AN5" i="31"/>
  <c r="AW12" i="13"/>
  <c r="AW21" i="13"/>
  <c r="AE19" i="31"/>
  <c r="AG19" i="31"/>
  <c r="AF19" i="31"/>
  <c r="AE4" i="31"/>
  <c r="AG4" i="31"/>
  <c r="AF4" i="31"/>
  <c r="AF5" i="31"/>
  <c r="AE5" i="31"/>
  <c r="AG5" i="31"/>
  <c r="AE6" i="31"/>
  <c r="AG6" i="31"/>
  <c r="AF6" i="31"/>
  <c r="AG7" i="31"/>
  <c r="AE7" i="31"/>
  <c r="AF7" i="31"/>
  <c r="AG16" i="31"/>
  <c r="AF16" i="31"/>
  <c r="AE16" i="31"/>
  <c r="AE17" i="31"/>
  <c r="AF17" i="31"/>
  <c r="AG17" i="31"/>
  <c r="AF13" i="31"/>
  <c r="AE13" i="31"/>
  <c r="AG13" i="31"/>
  <c r="AE8" i="31"/>
  <c r="AF8" i="31"/>
  <c r="AG8" i="31"/>
  <c r="BA3" i="31"/>
  <c r="AT5" i="31" l="1"/>
  <c r="AT4" i="31"/>
  <c r="AW12" i="31"/>
  <c r="AT17" i="31"/>
  <c r="AT7" i="31"/>
  <c r="AW15" i="31"/>
  <c r="AT6" i="31"/>
  <c r="AT13" i="31"/>
  <c r="AT8" i="31"/>
  <c r="AT9" i="31"/>
  <c r="AT16" i="31"/>
  <c r="AT14" i="31"/>
  <c r="AQ7" i="31"/>
  <c r="AN7" i="31"/>
  <c r="AQ6" i="31"/>
  <c r="AN6" i="31"/>
  <c r="AQ12" i="31"/>
  <c r="AN12" i="31"/>
  <c r="AN13" i="31"/>
  <c r="AL13" i="31"/>
  <c r="AQ8" i="31"/>
  <c r="AN8" i="31"/>
  <c r="AQ16" i="31"/>
  <c r="AN16" i="31"/>
  <c r="AN9" i="31"/>
  <c r="AL9" i="31"/>
  <c r="AQ14" i="31"/>
  <c r="AN14" i="31"/>
  <c r="AN15" i="31"/>
  <c r="AL15" i="31"/>
  <c r="AQ17" i="31"/>
  <c r="AQ5" i="31"/>
  <c r="AZ6" i="31"/>
  <c r="AQ13" i="31"/>
  <c r="AZ8" i="31"/>
  <c r="AZ16" i="31"/>
  <c r="AQ9" i="31"/>
  <c r="AZ17" i="31"/>
  <c r="AZ5" i="31"/>
  <c r="AZ12" i="31"/>
  <c r="AZ9" i="31"/>
  <c r="AZ13" i="31"/>
  <c r="AQ4" i="31"/>
  <c r="AZ7" i="31"/>
  <c r="AQ15" i="31"/>
  <c r="AZ15" i="31"/>
  <c r="AZ4" i="31"/>
  <c r="AZ14" i="31"/>
  <c r="AX12" i="31"/>
  <c r="AO12" i="31"/>
  <c r="AX3" i="31"/>
  <c r="FI36" i="3"/>
  <c r="FH36" i="3"/>
  <c r="FG36" i="3"/>
  <c r="FC36" i="3"/>
  <c r="FB36" i="3"/>
  <c r="FA36" i="3"/>
  <c r="FI35" i="3"/>
  <c r="FH35" i="3"/>
  <c r="FG35" i="3"/>
  <c r="FC35" i="3"/>
  <c r="FB35" i="3"/>
  <c r="FA35" i="3"/>
  <c r="FD1" i="3"/>
  <c r="FD4" i="3" s="1"/>
  <c r="EX1" i="3"/>
  <c r="EX4" i="3" s="1"/>
  <c r="AM16" i="31" l="1"/>
  <c r="AM17" i="31"/>
  <c r="AO7" i="31"/>
  <c r="AX7" i="31"/>
  <c r="AO3" i="31"/>
  <c r="BT5" i="11" l="1"/>
  <c r="BP5" i="11"/>
  <c r="BL5" i="11"/>
  <c r="BH5" i="11"/>
  <c r="BD5" i="11"/>
  <c r="AZ5" i="11"/>
  <c r="AV5" i="11"/>
  <c r="AR5" i="11"/>
  <c r="AN5" i="11"/>
  <c r="AJ5" i="11"/>
  <c r="AG37" i="11"/>
  <c r="AF37" i="11"/>
  <c r="AG36" i="11"/>
  <c r="AF36" i="11"/>
  <c r="AD5" i="11"/>
  <c r="Y37" i="11"/>
  <c r="X37" i="11"/>
  <c r="Y36" i="11"/>
  <c r="X36" i="11"/>
  <c r="V5" i="11"/>
  <c r="Z5" i="11"/>
  <c r="AB36" i="11"/>
  <c r="AC36" i="11"/>
  <c r="AB37" i="11"/>
  <c r="AC37" i="11"/>
  <c r="Q37" i="11"/>
  <c r="P37" i="11"/>
  <c r="Q36" i="11"/>
  <c r="P36" i="11"/>
  <c r="N5" i="11"/>
  <c r="I37" i="11"/>
  <c r="H37" i="11"/>
  <c r="I36" i="11"/>
  <c r="H36" i="11"/>
  <c r="F5" i="11"/>
  <c r="B26" i="29" l="1"/>
  <c r="C26" i="29" s="1"/>
  <c r="D26" i="29" s="1"/>
  <c r="E26" i="29"/>
  <c r="F26" i="29" s="1"/>
  <c r="G26" i="29" s="1"/>
  <c r="H26" i="29"/>
  <c r="I26" i="29"/>
  <c r="J26" i="29" s="1"/>
  <c r="K26" i="29"/>
  <c r="L26" i="29" s="1"/>
  <c r="M26" i="29" s="1"/>
  <c r="N26" i="29"/>
  <c r="O26" i="29" s="1"/>
  <c r="P26" i="29" s="1"/>
  <c r="Q26" i="29"/>
  <c r="R26" i="29" s="1"/>
  <c r="S26" i="29" s="1"/>
  <c r="T26" i="29"/>
  <c r="U26" i="29" s="1"/>
  <c r="V26" i="29" s="1"/>
  <c r="W26" i="29"/>
  <c r="X26" i="29" s="1"/>
  <c r="Y26" i="29" s="1"/>
  <c r="Z26" i="29"/>
  <c r="AA26" i="29" s="1"/>
  <c r="AB26" i="29" s="1"/>
  <c r="AC26" i="29"/>
  <c r="AD26" i="29" s="1"/>
  <c r="AE26" i="29" s="1"/>
  <c r="AF26" i="29"/>
  <c r="AG26" i="29" s="1"/>
  <c r="AH26" i="29" s="1"/>
  <c r="AI26" i="29"/>
  <c r="AJ26" i="29" s="1"/>
  <c r="AK26" i="29" s="1"/>
  <c r="AL26" i="29"/>
  <c r="AM26" i="29" s="1"/>
  <c r="AN26" i="29" s="1"/>
  <c r="AO26" i="29"/>
  <c r="AP26" i="29" s="1"/>
  <c r="AQ26" i="29" s="1"/>
  <c r="AR26" i="29"/>
  <c r="AS26" i="29" s="1"/>
  <c r="AT26" i="29" s="1"/>
  <c r="AU26" i="29"/>
  <c r="AV26" i="29" s="1"/>
  <c r="AW26" i="29" s="1"/>
  <c r="AX26" i="29"/>
  <c r="AY26" i="29" s="1"/>
  <c r="AZ26" i="29" s="1"/>
  <c r="BA26" i="29"/>
  <c r="BB26" i="29" s="1"/>
  <c r="BC26" i="29" s="1"/>
  <c r="BD26" i="29"/>
  <c r="BE26" i="29" s="1"/>
  <c r="BF26" i="29" s="1"/>
  <c r="BG26" i="29"/>
  <c r="BH26" i="29" s="1"/>
  <c r="BI26" i="29" s="1"/>
  <c r="BJ26" i="29"/>
  <c r="BK26" i="29" s="1"/>
  <c r="BL26" i="29" s="1"/>
  <c r="BM26" i="29"/>
  <c r="BN26" i="29" s="1"/>
  <c r="BO26" i="29" s="1"/>
  <c r="BP26" i="29"/>
  <c r="BQ26" i="29" s="1"/>
  <c r="BR26" i="29" s="1"/>
  <c r="BS26" i="29"/>
  <c r="BT26" i="29" s="1"/>
  <c r="BU26" i="29" s="1"/>
  <c r="B27" i="29"/>
  <c r="C27" i="29" s="1"/>
  <c r="D27" i="29" s="1"/>
  <c r="E27" i="29"/>
  <c r="F27" i="29" s="1"/>
  <c r="G27" i="29" s="1"/>
  <c r="H27" i="29"/>
  <c r="I27" i="29" s="1"/>
  <c r="J27" i="29" s="1"/>
  <c r="K27" i="29"/>
  <c r="L27" i="29" s="1"/>
  <c r="M27" i="29" s="1"/>
  <c r="N27" i="29"/>
  <c r="O27" i="29" s="1"/>
  <c r="P27" i="29" s="1"/>
  <c r="Q27" i="29"/>
  <c r="R27" i="29" s="1"/>
  <c r="S27" i="29" s="1"/>
  <c r="T27" i="29"/>
  <c r="U27" i="29" s="1"/>
  <c r="V27" i="29" s="1"/>
  <c r="W27" i="29"/>
  <c r="X27" i="29" s="1"/>
  <c r="Y27" i="29" s="1"/>
  <c r="Z27" i="29"/>
  <c r="AA27" i="29" s="1"/>
  <c r="AB27" i="29" s="1"/>
  <c r="AC27" i="29"/>
  <c r="AD27" i="29" s="1"/>
  <c r="AE27" i="29" s="1"/>
  <c r="AF27" i="29"/>
  <c r="AG27" i="29" s="1"/>
  <c r="AH27" i="29" s="1"/>
  <c r="AI27" i="29"/>
  <c r="AJ27" i="29" s="1"/>
  <c r="AK27" i="29" s="1"/>
  <c r="AL27" i="29"/>
  <c r="AM27" i="29" s="1"/>
  <c r="AN27" i="29" s="1"/>
  <c r="AO27" i="29"/>
  <c r="AP27" i="29" s="1"/>
  <c r="AQ27" i="29" s="1"/>
  <c r="AR27" i="29"/>
  <c r="AS27" i="29" s="1"/>
  <c r="AT27" i="29" s="1"/>
  <c r="AU27" i="29"/>
  <c r="AV27" i="29" s="1"/>
  <c r="AW27" i="29" s="1"/>
  <c r="AX27" i="29"/>
  <c r="AY27" i="29" s="1"/>
  <c r="AZ27" i="29" s="1"/>
  <c r="BA27" i="29"/>
  <c r="BB27" i="29" s="1"/>
  <c r="BC27" i="29" s="1"/>
  <c r="BD27" i="29"/>
  <c r="BE27" i="29" s="1"/>
  <c r="BF27" i="29" s="1"/>
  <c r="BG27" i="29"/>
  <c r="BH27" i="29" s="1"/>
  <c r="BI27" i="29" s="1"/>
  <c r="BJ27" i="29"/>
  <c r="BK27" i="29" s="1"/>
  <c r="BL27" i="29" s="1"/>
  <c r="BM27" i="29"/>
  <c r="BN27" i="29" s="1"/>
  <c r="BO27" i="29" s="1"/>
  <c r="BP27" i="29"/>
  <c r="BQ27" i="29" s="1"/>
  <c r="BR27" i="29" s="1"/>
  <c r="BS27" i="29"/>
  <c r="BT27" i="29" s="1"/>
  <c r="BU27" i="29" s="1"/>
  <c r="B28" i="29"/>
  <c r="C28" i="29" s="1"/>
  <c r="D28" i="29" s="1"/>
  <c r="E28" i="29"/>
  <c r="F28" i="29" s="1"/>
  <c r="G28" i="29" s="1"/>
  <c r="H28" i="29"/>
  <c r="I28" i="29" s="1"/>
  <c r="J28" i="29" s="1"/>
  <c r="K28" i="29"/>
  <c r="L28" i="29" s="1"/>
  <c r="M28" i="29" s="1"/>
  <c r="N28" i="29"/>
  <c r="O28" i="29" s="1"/>
  <c r="P28" i="29" s="1"/>
  <c r="Q28" i="29"/>
  <c r="R28" i="29" s="1"/>
  <c r="S28" i="29" s="1"/>
  <c r="T28" i="29"/>
  <c r="U28" i="29" s="1"/>
  <c r="V28" i="29" s="1"/>
  <c r="W28" i="29"/>
  <c r="X28" i="29" s="1"/>
  <c r="Y28" i="29" s="1"/>
  <c r="Z28" i="29"/>
  <c r="AA28" i="29" s="1"/>
  <c r="AB28" i="29" s="1"/>
  <c r="AC28" i="29"/>
  <c r="AD28" i="29" s="1"/>
  <c r="AE28" i="29" s="1"/>
  <c r="AF28" i="29"/>
  <c r="AG28" i="29" s="1"/>
  <c r="AH28" i="29" s="1"/>
  <c r="AI28" i="29"/>
  <c r="AJ28" i="29" s="1"/>
  <c r="AK28" i="29" s="1"/>
  <c r="AL28" i="29"/>
  <c r="AM28" i="29" s="1"/>
  <c r="AN28" i="29" s="1"/>
  <c r="AO28" i="29"/>
  <c r="AP28" i="29" s="1"/>
  <c r="AQ28" i="29" s="1"/>
  <c r="AR28" i="29"/>
  <c r="AS28" i="29" s="1"/>
  <c r="AT28" i="29" s="1"/>
  <c r="AU28" i="29"/>
  <c r="AV28" i="29" s="1"/>
  <c r="AW28" i="29" s="1"/>
  <c r="AX28" i="29"/>
  <c r="AY28" i="29" s="1"/>
  <c r="AZ28" i="29" s="1"/>
  <c r="BA28" i="29"/>
  <c r="BB28" i="29" s="1"/>
  <c r="BC28" i="29" s="1"/>
  <c r="BD28" i="29"/>
  <c r="BE28" i="29" s="1"/>
  <c r="BF28" i="29" s="1"/>
  <c r="BG28" i="29"/>
  <c r="BH28" i="29" s="1"/>
  <c r="BI28" i="29" s="1"/>
  <c r="BJ28" i="29"/>
  <c r="BK28" i="29" s="1"/>
  <c r="BL28" i="29" s="1"/>
  <c r="BM28" i="29"/>
  <c r="BN28" i="29" s="1"/>
  <c r="BO28" i="29" s="1"/>
  <c r="BP28" i="29"/>
  <c r="BQ28" i="29" s="1"/>
  <c r="BR28" i="29" s="1"/>
  <c r="BS28" i="29"/>
  <c r="BT28" i="29" s="1"/>
  <c r="BU28" i="29" s="1"/>
  <c r="B29" i="29"/>
  <c r="C29" i="29" s="1"/>
  <c r="D29" i="29" s="1"/>
  <c r="E29" i="29"/>
  <c r="F29" i="29" s="1"/>
  <c r="G29" i="29" s="1"/>
  <c r="H29" i="29"/>
  <c r="I29" i="29" s="1"/>
  <c r="J29" i="29" s="1"/>
  <c r="K29" i="29"/>
  <c r="L29" i="29" s="1"/>
  <c r="M29" i="29" s="1"/>
  <c r="N29" i="29"/>
  <c r="O29" i="29" s="1"/>
  <c r="P29" i="29" s="1"/>
  <c r="Q29" i="29"/>
  <c r="R29" i="29" s="1"/>
  <c r="S29" i="29" s="1"/>
  <c r="T29" i="29"/>
  <c r="U29" i="29" s="1"/>
  <c r="V29" i="29" s="1"/>
  <c r="W29" i="29"/>
  <c r="X29" i="29" s="1"/>
  <c r="Y29" i="29" s="1"/>
  <c r="Z29" i="29"/>
  <c r="AA29" i="29" s="1"/>
  <c r="AB29" i="29" s="1"/>
  <c r="AC29" i="29"/>
  <c r="AD29" i="29" s="1"/>
  <c r="AE29" i="29" s="1"/>
  <c r="AF29" i="29"/>
  <c r="AG29" i="29" s="1"/>
  <c r="AH29" i="29" s="1"/>
  <c r="AI29" i="29"/>
  <c r="AJ29" i="29" s="1"/>
  <c r="AK29" i="29" s="1"/>
  <c r="AL29" i="29"/>
  <c r="AM29" i="29" s="1"/>
  <c r="AN29" i="29" s="1"/>
  <c r="AO29" i="29"/>
  <c r="AP29" i="29" s="1"/>
  <c r="AQ29" i="29" s="1"/>
  <c r="AR29" i="29"/>
  <c r="AS29" i="29" s="1"/>
  <c r="AT29" i="29" s="1"/>
  <c r="AU29" i="29"/>
  <c r="AV29" i="29" s="1"/>
  <c r="AW29" i="29" s="1"/>
  <c r="AX29" i="29"/>
  <c r="AY29" i="29" s="1"/>
  <c r="AZ29" i="29" s="1"/>
  <c r="BA29" i="29"/>
  <c r="BB29" i="29" s="1"/>
  <c r="BC29" i="29" s="1"/>
  <c r="BD29" i="29"/>
  <c r="BE29" i="29" s="1"/>
  <c r="BF29" i="29" s="1"/>
  <c r="BG29" i="29"/>
  <c r="BH29" i="29" s="1"/>
  <c r="BI29" i="29" s="1"/>
  <c r="BJ29" i="29"/>
  <c r="BK29" i="29" s="1"/>
  <c r="BL29" i="29" s="1"/>
  <c r="BM29" i="29"/>
  <c r="BN29" i="29" s="1"/>
  <c r="BO29" i="29" s="1"/>
  <c r="BP29" i="29"/>
  <c r="BQ29" i="29" s="1"/>
  <c r="BR29" i="29" s="1"/>
  <c r="BS29" i="29"/>
  <c r="BT29" i="29" s="1"/>
  <c r="BU29" i="29" s="1"/>
  <c r="B30" i="29"/>
  <c r="C30" i="29" s="1"/>
  <c r="D30" i="29" s="1"/>
  <c r="E30" i="29"/>
  <c r="F30" i="29" s="1"/>
  <c r="G30" i="29" s="1"/>
  <c r="H30" i="29"/>
  <c r="I30" i="29" s="1"/>
  <c r="J30" i="29" s="1"/>
  <c r="K30" i="29"/>
  <c r="L30" i="29" s="1"/>
  <c r="M30" i="29" s="1"/>
  <c r="N30" i="29"/>
  <c r="O30" i="29" s="1"/>
  <c r="P30" i="29" s="1"/>
  <c r="Q30" i="29"/>
  <c r="R30" i="29" s="1"/>
  <c r="S30" i="29" s="1"/>
  <c r="T30" i="29"/>
  <c r="U30" i="29" s="1"/>
  <c r="V30" i="29" s="1"/>
  <c r="W30" i="29"/>
  <c r="X30" i="29" s="1"/>
  <c r="Y30" i="29" s="1"/>
  <c r="Z30" i="29"/>
  <c r="AA30" i="29" s="1"/>
  <c r="AB30" i="29" s="1"/>
  <c r="AC30" i="29"/>
  <c r="AD30" i="29" s="1"/>
  <c r="AE30" i="29" s="1"/>
  <c r="AF30" i="29"/>
  <c r="AG30" i="29" s="1"/>
  <c r="AH30" i="29" s="1"/>
  <c r="AI30" i="29"/>
  <c r="AJ30" i="29" s="1"/>
  <c r="AK30" i="29" s="1"/>
  <c r="AL30" i="29"/>
  <c r="AM30" i="29" s="1"/>
  <c r="AN30" i="29" s="1"/>
  <c r="AO30" i="29"/>
  <c r="AP30" i="29" s="1"/>
  <c r="AQ30" i="29" s="1"/>
  <c r="AR30" i="29"/>
  <c r="AS30" i="29" s="1"/>
  <c r="AT30" i="29" s="1"/>
  <c r="AU30" i="29"/>
  <c r="AV30" i="29" s="1"/>
  <c r="AW30" i="29" s="1"/>
  <c r="AX30" i="29"/>
  <c r="AY30" i="29" s="1"/>
  <c r="AZ30" i="29" s="1"/>
  <c r="BA30" i="29"/>
  <c r="BB30" i="29" s="1"/>
  <c r="BC30" i="29" s="1"/>
  <c r="BD30" i="29"/>
  <c r="BE30" i="29" s="1"/>
  <c r="BF30" i="29" s="1"/>
  <c r="BG30" i="29"/>
  <c r="BH30" i="29" s="1"/>
  <c r="BI30" i="29" s="1"/>
  <c r="BJ30" i="29"/>
  <c r="BK30" i="29" s="1"/>
  <c r="BL30" i="29" s="1"/>
  <c r="BM30" i="29"/>
  <c r="BN30" i="29" s="1"/>
  <c r="BO30" i="29" s="1"/>
  <c r="BP30" i="29"/>
  <c r="BQ30" i="29" s="1"/>
  <c r="BR30" i="29" s="1"/>
  <c r="BS30" i="29"/>
  <c r="BT30" i="29" s="1"/>
  <c r="BU30" i="29" s="1"/>
  <c r="B31" i="29"/>
  <c r="C31" i="29" s="1"/>
  <c r="D31" i="29" s="1"/>
  <c r="E31" i="29"/>
  <c r="F31" i="29" s="1"/>
  <c r="G31" i="29" s="1"/>
  <c r="H31" i="29"/>
  <c r="I31" i="29" s="1"/>
  <c r="J31" i="29" s="1"/>
  <c r="K31" i="29"/>
  <c r="L31" i="29" s="1"/>
  <c r="M31" i="29" s="1"/>
  <c r="N31" i="29"/>
  <c r="O31" i="29" s="1"/>
  <c r="P31" i="29" s="1"/>
  <c r="Q31" i="29"/>
  <c r="R31" i="29" s="1"/>
  <c r="S31" i="29" s="1"/>
  <c r="T31" i="29"/>
  <c r="U31" i="29" s="1"/>
  <c r="V31" i="29" s="1"/>
  <c r="W31" i="29"/>
  <c r="X31" i="29" s="1"/>
  <c r="Y31" i="29" s="1"/>
  <c r="Z31" i="29"/>
  <c r="AA31" i="29" s="1"/>
  <c r="AB31" i="29" s="1"/>
  <c r="AC31" i="29"/>
  <c r="AD31" i="29" s="1"/>
  <c r="AE31" i="29"/>
  <c r="AF31" i="29"/>
  <c r="AG31" i="29" s="1"/>
  <c r="AH31" i="29" s="1"/>
  <c r="AI31" i="29"/>
  <c r="AJ31" i="29" s="1"/>
  <c r="AK31" i="29" s="1"/>
  <c r="AL31" i="29"/>
  <c r="AM31" i="29"/>
  <c r="AN31" i="29" s="1"/>
  <c r="AO31" i="29"/>
  <c r="AP31" i="29" s="1"/>
  <c r="AQ31" i="29" s="1"/>
  <c r="AR31" i="29"/>
  <c r="AS31" i="29" s="1"/>
  <c r="AT31" i="29" s="1"/>
  <c r="AU31" i="29"/>
  <c r="AV31" i="29" s="1"/>
  <c r="AW31" i="29" s="1"/>
  <c r="AX31" i="29"/>
  <c r="AY31" i="29" s="1"/>
  <c r="AZ31" i="29" s="1"/>
  <c r="BA31" i="29"/>
  <c r="BB31" i="29" s="1"/>
  <c r="BC31" i="29" s="1"/>
  <c r="BD31" i="29"/>
  <c r="BE31" i="29" s="1"/>
  <c r="BF31" i="29" s="1"/>
  <c r="BG31" i="29"/>
  <c r="BH31" i="29" s="1"/>
  <c r="BI31" i="29" s="1"/>
  <c r="BJ31" i="29"/>
  <c r="BK31" i="29" s="1"/>
  <c r="BL31" i="29" s="1"/>
  <c r="BM31" i="29"/>
  <c r="BN31" i="29" s="1"/>
  <c r="BO31" i="29" s="1"/>
  <c r="BP31" i="29"/>
  <c r="BQ31" i="29"/>
  <c r="BR31" i="29" s="1"/>
  <c r="BS31" i="29"/>
  <c r="BT31" i="29" s="1"/>
  <c r="BU31" i="29" s="1"/>
  <c r="AV37" i="10"/>
  <c r="AW37" i="10" s="1"/>
  <c r="AS37" i="10"/>
  <c r="AT37" i="10" s="1"/>
  <c r="AV36" i="10"/>
  <c r="AW36" i="10" s="1"/>
  <c r="AS36" i="10"/>
  <c r="AT36" i="10" s="1"/>
  <c r="AU5" i="10"/>
  <c r="AR5" i="10"/>
  <c r="AP37" i="10"/>
  <c r="AQ37" i="10" s="1"/>
  <c r="AM37" i="10"/>
  <c r="AN37" i="10" s="1"/>
  <c r="AJ37" i="10"/>
  <c r="AK37" i="10" s="1"/>
  <c r="AG37" i="10"/>
  <c r="AH37" i="10" s="1"/>
  <c r="AP36" i="10"/>
  <c r="AQ36" i="10" s="1"/>
  <c r="AM36" i="10"/>
  <c r="AN36" i="10" s="1"/>
  <c r="AJ36" i="10"/>
  <c r="AK36" i="10" s="1"/>
  <c r="AG36" i="10"/>
  <c r="AH36" i="10" s="1"/>
  <c r="AO5" i="10"/>
  <c r="AL5" i="10"/>
  <c r="AI5" i="10"/>
  <c r="AF5" i="10"/>
  <c r="AD37" i="10"/>
  <c r="AE37" i="10" s="1"/>
  <c r="AA37" i="10"/>
  <c r="AB37" i="10" s="1"/>
  <c r="X37" i="10"/>
  <c r="Y37" i="10" s="1"/>
  <c r="U37" i="10"/>
  <c r="V37" i="10" s="1"/>
  <c r="R37" i="10"/>
  <c r="S37" i="10" s="1"/>
  <c r="AD36" i="10"/>
  <c r="AE36" i="10" s="1"/>
  <c r="AA36" i="10"/>
  <c r="AB36" i="10" s="1"/>
  <c r="X36" i="10"/>
  <c r="Y36" i="10" s="1"/>
  <c r="U36" i="10"/>
  <c r="V36" i="10" s="1"/>
  <c r="R36" i="10"/>
  <c r="S36" i="10" s="1"/>
  <c r="AC5" i="10"/>
  <c r="Z5" i="10"/>
  <c r="W5" i="10"/>
  <c r="T5" i="10"/>
  <c r="Q5" i="10"/>
  <c r="O37" i="10"/>
  <c r="P37" i="10" s="1"/>
  <c r="O36" i="10"/>
  <c r="P36" i="10" s="1"/>
  <c r="N5" i="10"/>
  <c r="U4" i="15"/>
  <c r="G40" i="29" l="1"/>
  <c r="B41" i="29"/>
  <c r="D41" i="29"/>
  <c r="I36" i="29"/>
  <c r="J36" i="29" s="1"/>
  <c r="BT36" i="29"/>
  <c r="BU36" i="29" s="1"/>
  <c r="BQ36" i="29"/>
  <c r="BR36" i="29" s="1"/>
  <c r="BN36" i="29"/>
  <c r="BO36" i="29" s="1"/>
  <c r="BK36" i="29"/>
  <c r="BL36" i="29" s="1"/>
  <c r="BH36" i="29"/>
  <c r="BI36" i="29" s="1"/>
  <c r="BE36" i="29"/>
  <c r="BF36" i="29" s="1"/>
  <c r="BB36" i="29"/>
  <c r="BC36" i="29" s="1"/>
  <c r="AY36" i="29"/>
  <c r="AZ36" i="29" s="1"/>
  <c r="AV36" i="29"/>
  <c r="AW36" i="29" s="1"/>
  <c r="AS36" i="29"/>
  <c r="AT36" i="29" s="1"/>
  <c r="AP36" i="29"/>
  <c r="AQ36" i="29" s="1"/>
  <c r="AM36" i="29"/>
  <c r="AN36" i="29" s="1"/>
  <c r="AJ36" i="29"/>
  <c r="AK36" i="29" s="1"/>
  <c r="AG36" i="29"/>
  <c r="AH36" i="29" s="1"/>
  <c r="AD36" i="29"/>
  <c r="AE36" i="29" s="1"/>
  <c r="AA36" i="29"/>
  <c r="AB36" i="29" s="1"/>
  <c r="X36" i="29"/>
  <c r="Y36" i="29" s="1"/>
  <c r="U36" i="29"/>
  <c r="V36" i="29" s="1"/>
  <c r="R36" i="29"/>
  <c r="S36" i="29" s="1"/>
  <c r="O36" i="29"/>
  <c r="P36" i="29" s="1"/>
  <c r="L36" i="29"/>
  <c r="M36" i="29" s="1"/>
  <c r="F36" i="29"/>
  <c r="G36" i="29" s="1"/>
  <c r="BS6" i="29"/>
  <c r="BT6" i="29" s="1"/>
  <c r="BU6" i="29" s="1"/>
  <c r="BS7" i="29"/>
  <c r="BT7" i="29" s="1"/>
  <c r="BU7" i="29" s="1"/>
  <c r="BS8" i="29"/>
  <c r="BT8" i="29" s="1"/>
  <c r="BU8" i="29" s="1"/>
  <c r="BS9" i="29"/>
  <c r="BT9" i="29" s="1"/>
  <c r="BU9" i="29" s="1"/>
  <c r="BS10" i="29"/>
  <c r="BT10" i="29" s="1"/>
  <c r="BU10" i="29" s="1"/>
  <c r="BS11" i="29"/>
  <c r="BT11" i="29" s="1"/>
  <c r="BU11" i="29" s="1"/>
  <c r="BS12" i="29"/>
  <c r="BT12" i="29" s="1"/>
  <c r="BU12" i="29" s="1"/>
  <c r="BS13" i="29"/>
  <c r="BT13" i="29" s="1"/>
  <c r="BU13" i="29" s="1"/>
  <c r="BS14" i="29"/>
  <c r="BT14" i="29" s="1"/>
  <c r="BU14" i="29" s="1"/>
  <c r="BS15" i="29"/>
  <c r="BT15" i="29" s="1"/>
  <c r="BU15" i="29" s="1"/>
  <c r="BS16" i="29"/>
  <c r="BT16" i="29" s="1"/>
  <c r="BU16" i="29" s="1"/>
  <c r="BS17" i="29"/>
  <c r="BT17" i="29" s="1"/>
  <c r="BU17" i="29" s="1"/>
  <c r="BS18" i="29"/>
  <c r="BT18" i="29" s="1"/>
  <c r="BU18" i="29" s="1"/>
  <c r="BS19" i="29"/>
  <c r="BT19" i="29" s="1"/>
  <c r="BU19" i="29" s="1"/>
  <c r="BS20" i="29"/>
  <c r="BT20" i="29" s="1"/>
  <c r="BU20" i="29" s="1"/>
  <c r="BS21" i="29"/>
  <c r="BT21" i="29" s="1"/>
  <c r="BU21" i="29" s="1"/>
  <c r="BS22" i="29"/>
  <c r="BT22" i="29" s="1"/>
  <c r="BU22" i="29" s="1"/>
  <c r="BS23" i="29"/>
  <c r="BT23" i="29" s="1"/>
  <c r="BU23" i="29" s="1"/>
  <c r="BS24" i="29"/>
  <c r="BT24" i="29" s="1"/>
  <c r="BU24" i="29" s="1"/>
  <c r="BS25" i="29"/>
  <c r="BT25" i="29" s="1"/>
  <c r="BU25" i="29" s="1"/>
  <c r="E6" i="29"/>
  <c r="F6" i="29" s="1"/>
  <c r="G6" i="29" s="1"/>
  <c r="H6" i="29"/>
  <c r="I6" i="29" s="1"/>
  <c r="J6" i="29" s="1"/>
  <c r="K6" i="29"/>
  <c r="L6" i="29" s="1"/>
  <c r="M6" i="29" s="1"/>
  <c r="N6" i="29"/>
  <c r="O6" i="29" s="1"/>
  <c r="P6" i="29" s="1"/>
  <c r="Q6" i="29"/>
  <c r="R6" i="29" s="1"/>
  <c r="S6" i="29" s="1"/>
  <c r="T6" i="29"/>
  <c r="U6" i="29" s="1"/>
  <c r="V6" i="29" s="1"/>
  <c r="W6" i="29"/>
  <c r="X6" i="29" s="1"/>
  <c r="Y6" i="29" s="1"/>
  <c r="Z6" i="29"/>
  <c r="AA6" i="29" s="1"/>
  <c r="AB6" i="29" s="1"/>
  <c r="AC6" i="29"/>
  <c r="AD6" i="29" s="1"/>
  <c r="AE6" i="29" s="1"/>
  <c r="AF6" i="29"/>
  <c r="AG6" i="29" s="1"/>
  <c r="AH6" i="29" s="1"/>
  <c r="AI6" i="29"/>
  <c r="AJ6" i="29" s="1"/>
  <c r="AK6" i="29" s="1"/>
  <c r="AL6" i="29"/>
  <c r="AM6" i="29" s="1"/>
  <c r="AN6" i="29" s="1"/>
  <c r="AO6" i="29"/>
  <c r="AP6" i="29" s="1"/>
  <c r="AQ6" i="29" s="1"/>
  <c r="AR6" i="29"/>
  <c r="AS6" i="29" s="1"/>
  <c r="AT6" i="29" s="1"/>
  <c r="AU6" i="29"/>
  <c r="AV6" i="29" s="1"/>
  <c r="AW6" i="29" s="1"/>
  <c r="AX6" i="29"/>
  <c r="AY6" i="29" s="1"/>
  <c r="AZ6" i="29" s="1"/>
  <c r="BA6" i="29"/>
  <c r="BB6" i="29" s="1"/>
  <c r="BC6" i="29" s="1"/>
  <c r="BD6" i="29"/>
  <c r="BE6" i="29" s="1"/>
  <c r="BF6" i="29" s="1"/>
  <c r="BG6" i="29"/>
  <c r="BH6" i="29" s="1"/>
  <c r="BI6" i="29" s="1"/>
  <c r="BJ6" i="29"/>
  <c r="BK6" i="29" s="1"/>
  <c r="BL6" i="29" s="1"/>
  <c r="BM6" i="29"/>
  <c r="BN6" i="29" s="1"/>
  <c r="BO6" i="29" s="1"/>
  <c r="BP6" i="29"/>
  <c r="BQ6" i="29" s="1"/>
  <c r="BR6" i="29" s="1"/>
  <c r="E7" i="29"/>
  <c r="F7" i="29" s="1"/>
  <c r="G7" i="29" s="1"/>
  <c r="H7" i="29"/>
  <c r="I7" i="29" s="1"/>
  <c r="J7" i="29" s="1"/>
  <c r="K7" i="29"/>
  <c r="L7" i="29" s="1"/>
  <c r="M7" i="29" s="1"/>
  <c r="N7" i="29"/>
  <c r="O7" i="29" s="1"/>
  <c r="P7" i="29" s="1"/>
  <c r="Q7" i="29"/>
  <c r="R7" i="29" s="1"/>
  <c r="S7" i="29" s="1"/>
  <c r="T7" i="29"/>
  <c r="U7" i="29" s="1"/>
  <c r="V7" i="29" s="1"/>
  <c r="W7" i="29"/>
  <c r="X7" i="29" s="1"/>
  <c r="Y7" i="29" s="1"/>
  <c r="Z7" i="29"/>
  <c r="AA7" i="29" s="1"/>
  <c r="AB7" i="29" s="1"/>
  <c r="AC7" i="29"/>
  <c r="AD7" i="29" s="1"/>
  <c r="AE7" i="29" s="1"/>
  <c r="AF7" i="29"/>
  <c r="AG7" i="29" s="1"/>
  <c r="AH7" i="29" s="1"/>
  <c r="AI7" i="29"/>
  <c r="AJ7" i="29" s="1"/>
  <c r="AK7" i="29" s="1"/>
  <c r="AL7" i="29"/>
  <c r="AM7" i="29" s="1"/>
  <c r="AN7" i="29" s="1"/>
  <c r="AO7" i="29"/>
  <c r="AP7" i="29" s="1"/>
  <c r="AQ7" i="29" s="1"/>
  <c r="AR7" i="29"/>
  <c r="AS7" i="29" s="1"/>
  <c r="AT7" i="29" s="1"/>
  <c r="AU7" i="29"/>
  <c r="AV7" i="29" s="1"/>
  <c r="AW7" i="29" s="1"/>
  <c r="AX7" i="29"/>
  <c r="AY7" i="29" s="1"/>
  <c r="AZ7" i="29" s="1"/>
  <c r="BA7" i="29"/>
  <c r="BB7" i="29" s="1"/>
  <c r="BC7" i="29" s="1"/>
  <c r="BD7" i="29"/>
  <c r="BE7" i="29" s="1"/>
  <c r="BF7" i="29" s="1"/>
  <c r="BG7" i="29"/>
  <c r="BH7" i="29" s="1"/>
  <c r="BI7" i="29" s="1"/>
  <c r="BJ7" i="29"/>
  <c r="BK7" i="29" s="1"/>
  <c r="BL7" i="29" s="1"/>
  <c r="BM7" i="29"/>
  <c r="BN7" i="29" s="1"/>
  <c r="BO7" i="29" s="1"/>
  <c r="BP7" i="29"/>
  <c r="BQ7" i="29" s="1"/>
  <c r="BR7" i="29" s="1"/>
  <c r="E8" i="29"/>
  <c r="F8" i="29" s="1"/>
  <c r="G8" i="29" s="1"/>
  <c r="H8" i="29"/>
  <c r="I8" i="29" s="1"/>
  <c r="J8" i="29" s="1"/>
  <c r="K8" i="29"/>
  <c r="L8" i="29" s="1"/>
  <c r="M8" i="29" s="1"/>
  <c r="N8" i="29"/>
  <c r="O8" i="29" s="1"/>
  <c r="P8" i="29" s="1"/>
  <c r="Q8" i="29"/>
  <c r="R8" i="29" s="1"/>
  <c r="S8" i="29" s="1"/>
  <c r="T8" i="29"/>
  <c r="U8" i="29" s="1"/>
  <c r="V8" i="29" s="1"/>
  <c r="W8" i="29"/>
  <c r="X8" i="29" s="1"/>
  <c r="Y8" i="29" s="1"/>
  <c r="Z8" i="29"/>
  <c r="AA8" i="29" s="1"/>
  <c r="AB8" i="29" s="1"/>
  <c r="AC8" i="29"/>
  <c r="AD8" i="29" s="1"/>
  <c r="AE8" i="29" s="1"/>
  <c r="AF8" i="29"/>
  <c r="AG8" i="29" s="1"/>
  <c r="AH8" i="29" s="1"/>
  <c r="AI8" i="29"/>
  <c r="AJ8" i="29" s="1"/>
  <c r="AK8" i="29" s="1"/>
  <c r="AL8" i="29"/>
  <c r="AM8" i="29" s="1"/>
  <c r="AN8" i="29" s="1"/>
  <c r="AO8" i="29"/>
  <c r="AP8" i="29" s="1"/>
  <c r="AQ8" i="29" s="1"/>
  <c r="AR8" i="29"/>
  <c r="AS8" i="29" s="1"/>
  <c r="AT8" i="29" s="1"/>
  <c r="AU8" i="29"/>
  <c r="AV8" i="29" s="1"/>
  <c r="AW8" i="29" s="1"/>
  <c r="AX8" i="29"/>
  <c r="AY8" i="29" s="1"/>
  <c r="AZ8" i="29" s="1"/>
  <c r="BA8" i="29"/>
  <c r="BB8" i="29" s="1"/>
  <c r="BC8" i="29" s="1"/>
  <c r="BD8" i="29"/>
  <c r="BE8" i="29" s="1"/>
  <c r="BF8" i="29" s="1"/>
  <c r="BG8" i="29"/>
  <c r="BH8" i="29" s="1"/>
  <c r="BI8" i="29" s="1"/>
  <c r="BJ8" i="29"/>
  <c r="BK8" i="29" s="1"/>
  <c r="BL8" i="29" s="1"/>
  <c r="BM8" i="29"/>
  <c r="BN8" i="29" s="1"/>
  <c r="BO8" i="29" s="1"/>
  <c r="BP8" i="29"/>
  <c r="BQ8" i="29" s="1"/>
  <c r="BR8" i="29" s="1"/>
  <c r="E9" i="29"/>
  <c r="F9" i="29" s="1"/>
  <c r="G9" i="29" s="1"/>
  <c r="H9" i="29"/>
  <c r="I9" i="29" s="1"/>
  <c r="J9" i="29" s="1"/>
  <c r="K9" i="29"/>
  <c r="L9" i="29" s="1"/>
  <c r="M9" i="29" s="1"/>
  <c r="N9" i="29"/>
  <c r="O9" i="29" s="1"/>
  <c r="P9" i="29" s="1"/>
  <c r="Q9" i="29"/>
  <c r="R9" i="29" s="1"/>
  <c r="S9" i="29" s="1"/>
  <c r="T9" i="29"/>
  <c r="U9" i="29" s="1"/>
  <c r="V9" i="29" s="1"/>
  <c r="W9" i="29"/>
  <c r="X9" i="29" s="1"/>
  <c r="Y9" i="29" s="1"/>
  <c r="Z9" i="29"/>
  <c r="AA9" i="29" s="1"/>
  <c r="AB9" i="29" s="1"/>
  <c r="AC9" i="29"/>
  <c r="AD9" i="29" s="1"/>
  <c r="AE9" i="29" s="1"/>
  <c r="AF9" i="29"/>
  <c r="AG9" i="29" s="1"/>
  <c r="AH9" i="29" s="1"/>
  <c r="AI9" i="29"/>
  <c r="AJ9" i="29" s="1"/>
  <c r="AK9" i="29" s="1"/>
  <c r="AL9" i="29"/>
  <c r="AM9" i="29" s="1"/>
  <c r="AN9" i="29" s="1"/>
  <c r="AO9" i="29"/>
  <c r="AP9" i="29" s="1"/>
  <c r="AQ9" i="29" s="1"/>
  <c r="AR9" i="29"/>
  <c r="AS9" i="29" s="1"/>
  <c r="AT9" i="29" s="1"/>
  <c r="AU9" i="29"/>
  <c r="AV9" i="29" s="1"/>
  <c r="AW9" i="29" s="1"/>
  <c r="AX9" i="29"/>
  <c r="AY9" i="29" s="1"/>
  <c r="AZ9" i="29" s="1"/>
  <c r="BA9" i="29"/>
  <c r="BB9" i="29" s="1"/>
  <c r="BC9" i="29" s="1"/>
  <c r="BD9" i="29"/>
  <c r="BE9" i="29" s="1"/>
  <c r="BF9" i="29" s="1"/>
  <c r="BG9" i="29"/>
  <c r="BH9" i="29" s="1"/>
  <c r="BI9" i="29" s="1"/>
  <c r="BJ9" i="29"/>
  <c r="BK9" i="29" s="1"/>
  <c r="BL9" i="29" s="1"/>
  <c r="BM9" i="29"/>
  <c r="BN9" i="29" s="1"/>
  <c r="BO9" i="29" s="1"/>
  <c r="BP9" i="29"/>
  <c r="BQ9" i="29" s="1"/>
  <c r="BR9" i="29" s="1"/>
  <c r="E10" i="29"/>
  <c r="F10" i="29" s="1"/>
  <c r="G10" i="29" s="1"/>
  <c r="H10" i="29"/>
  <c r="I10" i="29" s="1"/>
  <c r="J10" i="29" s="1"/>
  <c r="K10" i="29"/>
  <c r="L10" i="29" s="1"/>
  <c r="M10" i="29" s="1"/>
  <c r="N10" i="29"/>
  <c r="O10" i="29" s="1"/>
  <c r="P10" i="29" s="1"/>
  <c r="Q10" i="29"/>
  <c r="R10" i="29" s="1"/>
  <c r="S10" i="29" s="1"/>
  <c r="T10" i="29"/>
  <c r="U10" i="29" s="1"/>
  <c r="V10" i="29" s="1"/>
  <c r="W10" i="29"/>
  <c r="X10" i="29" s="1"/>
  <c r="Y10" i="29" s="1"/>
  <c r="Z10" i="29"/>
  <c r="AA10" i="29" s="1"/>
  <c r="AB10" i="29" s="1"/>
  <c r="AC10" i="29"/>
  <c r="AD10" i="29" s="1"/>
  <c r="AE10" i="29" s="1"/>
  <c r="AF10" i="29"/>
  <c r="AG10" i="29" s="1"/>
  <c r="AH10" i="29" s="1"/>
  <c r="AI10" i="29"/>
  <c r="AJ10" i="29" s="1"/>
  <c r="AK10" i="29" s="1"/>
  <c r="AL10" i="29"/>
  <c r="AM10" i="29" s="1"/>
  <c r="AN10" i="29" s="1"/>
  <c r="AO10" i="29"/>
  <c r="AP10" i="29" s="1"/>
  <c r="AQ10" i="29" s="1"/>
  <c r="AR10" i="29"/>
  <c r="AS10" i="29" s="1"/>
  <c r="AT10" i="29" s="1"/>
  <c r="AU10" i="29"/>
  <c r="AV10" i="29" s="1"/>
  <c r="AW10" i="29" s="1"/>
  <c r="AX10" i="29"/>
  <c r="AY10" i="29" s="1"/>
  <c r="AZ10" i="29" s="1"/>
  <c r="BA10" i="29"/>
  <c r="BB10" i="29" s="1"/>
  <c r="BC10" i="29" s="1"/>
  <c r="BD10" i="29"/>
  <c r="BE10" i="29" s="1"/>
  <c r="BF10" i="29" s="1"/>
  <c r="BG10" i="29"/>
  <c r="BH10" i="29" s="1"/>
  <c r="BI10" i="29" s="1"/>
  <c r="BJ10" i="29"/>
  <c r="BK10" i="29" s="1"/>
  <c r="BL10" i="29" s="1"/>
  <c r="BM10" i="29"/>
  <c r="BN10" i="29" s="1"/>
  <c r="BO10" i="29" s="1"/>
  <c r="BP10" i="29"/>
  <c r="BQ10" i="29" s="1"/>
  <c r="BR10" i="29" s="1"/>
  <c r="E11" i="29"/>
  <c r="F11" i="29" s="1"/>
  <c r="G11" i="29" s="1"/>
  <c r="H11" i="29"/>
  <c r="I11" i="29" s="1"/>
  <c r="J11" i="29" s="1"/>
  <c r="K11" i="29"/>
  <c r="L11" i="29" s="1"/>
  <c r="M11" i="29" s="1"/>
  <c r="N11" i="29"/>
  <c r="O11" i="29" s="1"/>
  <c r="P11" i="29" s="1"/>
  <c r="Q11" i="29"/>
  <c r="R11" i="29" s="1"/>
  <c r="S11" i="29" s="1"/>
  <c r="T11" i="29"/>
  <c r="U11" i="29" s="1"/>
  <c r="V11" i="29" s="1"/>
  <c r="W11" i="29"/>
  <c r="X11" i="29" s="1"/>
  <c r="Y11" i="29" s="1"/>
  <c r="Z11" i="29"/>
  <c r="AA11" i="29" s="1"/>
  <c r="AB11" i="29" s="1"/>
  <c r="AC11" i="29"/>
  <c r="AD11" i="29" s="1"/>
  <c r="AE11" i="29" s="1"/>
  <c r="AF11" i="29"/>
  <c r="AG11" i="29" s="1"/>
  <c r="AH11" i="29" s="1"/>
  <c r="AI11" i="29"/>
  <c r="AJ11" i="29" s="1"/>
  <c r="AK11" i="29" s="1"/>
  <c r="AL11" i="29"/>
  <c r="AM11" i="29" s="1"/>
  <c r="AN11" i="29" s="1"/>
  <c r="AO11" i="29"/>
  <c r="AP11" i="29" s="1"/>
  <c r="AQ11" i="29" s="1"/>
  <c r="AR11" i="29"/>
  <c r="AS11" i="29" s="1"/>
  <c r="AT11" i="29" s="1"/>
  <c r="AU11" i="29"/>
  <c r="AV11" i="29" s="1"/>
  <c r="AW11" i="29" s="1"/>
  <c r="AX11" i="29"/>
  <c r="AY11" i="29" s="1"/>
  <c r="AZ11" i="29" s="1"/>
  <c r="BA11" i="29"/>
  <c r="BB11" i="29" s="1"/>
  <c r="BC11" i="29" s="1"/>
  <c r="BD11" i="29"/>
  <c r="BE11" i="29" s="1"/>
  <c r="BF11" i="29" s="1"/>
  <c r="BG11" i="29"/>
  <c r="BH11" i="29" s="1"/>
  <c r="BI11" i="29" s="1"/>
  <c r="BJ11" i="29"/>
  <c r="BK11" i="29" s="1"/>
  <c r="BL11" i="29" s="1"/>
  <c r="BM11" i="29"/>
  <c r="BN11" i="29" s="1"/>
  <c r="BO11" i="29" s="1"/>
  <c r="BP11" i="29"/>
  <c r="BQ11" i="29" s="1"/>
  <c r="BR11" i="29" s="1"/>
  <c r="E12" i="29"/>
  <c r="F12" i="29" s="1"/>
  <c r="G12" i="29" s="1"/>
  <c r="H12" i="29"/>
  <c r="I12" i="29" s="1"/>
  <c r="J12" i="29" s="1"/>
  <c r="K12" i="29"/>
  <c r="L12" i="29" s="1"/>
  <c r="M12" i="29" s="1"/>
  <c r="N12" i="29"/>
  <c r="O12" i="29" s="1"/>
  <c r="P12" i="29" s="1"/>
  <c r="Q12" i="29"/>
  <c r="R12" i="29" s="1"/>
  <c r="S12" i="29" s="1"/>
  <c r="T12" i="29"/>
  <c r="U12" i="29" s="1"/>
  <c r="V12" i="29" s="1"/>
  <c r="W12" i="29"/>
  <c r="X12" i="29" s="1"/>
  <c r="Y12" i="29" s="1"/>
  <c r="Z12" i="29"/>
  <c r="AA12" i="29" s="1"/>
  <c r="AB12" i="29" s="1"/>
  <c r="AC12" i="29"/>
  <c r="AD12" i="29" s="1"/>
  <c r="AE12" i="29" s="1"/>
  <c r="AF12" i="29"/>
  <c r="AG12" i="29" s="1"/>
  <c r="AH12" i="29" s="1"/>
  <c r="AI12" i="29"/>
  <c r="AJ12" i="29" s="1"/>
  <c r="AK12" i="29" s="1"/>
  <c r="AL12" i="29"/>
  <c r="AM12" i="29" s="1"/>
  <c r="AN12" i="29" s="1"/>
  <c r="AO12" i="29"/>
  <c r="AP12" i="29" s="1"/>
  <c r="AQ12" i="29" s="1"/>
  <c r="AR12" i="29"/>
  <c r="AS12" i="29" s="1"/>
  <c r="AT12" i="29" s="1"/>
  <c r="AU12" i="29"/>
  <c r="AV12" i="29" s="1"/>
  <c r="AW12" i="29" s="1"/>
  <c r="AX12" i="29"/>
  <c r="AY12" i="29" s="1"/>
  <c r="AZ12" i="29" s="1"/>
  <c r="BA12" i="29"/>
  <c r="BB12" i="29" s="1"/>
  <c r="BC12" i="29" s="1"/>
  <c r="BD12" i="29"/>
  <c r="BE12" i="29" s="1"/>
  <c r="BF12" i="29" s="1"/>
  <c r="BG12" i="29"/>
  <c r="BH12" i="29" s="1"/>
  <c r="BI12" i="29" s="1"/>
  <c r="BJ12" i="29"/>
  <c r="BK12" i="29" s="1"/>
  <c r="BL12" i="29" s="1"/>
  <c r="BM12" i="29"/>
  <c r="BN12" i="29" s="1"/>
  <c r="BO12" i="29" s="1"/>
  <c r="BP12" i="29"/>
  <c r="BQ12" i="29" s="1"/>
  <c r="BR12" i="29" s="1"/>
  <c r="E13" i="29"/>
  <c r="F13" i="29" s="1"/>
  <c r="G13" i="29" s="1"/>
  <c r="H13" i="29"/>
  <c r="I13" i="29" s="1"/>
  <c r="J13" i="29" s="1"/>
  <c r="K13" i="29"/>
  <c r="L13" i="29" s="1"/>
  <c r="M13" i="29" s="1"/>
  <c r="N13" i="29"/>
  <c r="O13" i="29" s="1"/>
  <c r="P13" i="29" s="1"/>
  <c r="Q13" i="29"/>
  <c r="R13" i="29" s="1"/>
  <c r="S13" i="29" s="1"/>
  <c r="T13" i="29"/>
  <c r="U13" i="29" s="1"/>
  <c r="V13" i="29" s="1"/>
  <c r="W13" i="29"/>
  <c r="X13" i="29" s="1"/>
  <c r="Y13" i="29" s="1"/>
  <c r="Z13" i="29"/>
  <c r="AA13" i="29" s="1"/>
  <c r="AB13" i="29" s="1"/>
  <c r="AC13" i="29"/>
  <c r="AD13" i="29" s="1"/>
  <c r="AE13" i="29" s="1"/>
  <c r="AF13" i="29"/>
  <c r="AG13" i="29" s="1"/>
  <c r="AH13" i="29" s="1"/>
  <c r="AI13" i="29"/>
  <c r="AJ13" i="29" s="1"/>
  <c r="AK13" i="29" s="1"/>
  <c r="AL13" i="29"/>
  <c r="AM13" i="29" s="1"/>
  <c r="AN13" i="29" s="1"/>
  <c r="AO13" i="29"/>
  <c r="AP13" i="29" s="1"/>
  <c r="AQ13" i="29" s="1"/>
  <c r="AR13" i="29"/>
  <c r="AS13" i="29" s="1"/>
  <c r="AT13" i="29" s="1"/>
  <c r="AU13" i="29"/>
  <c r="AV13" i="29" s="1"/>
  <c r="AW13" i="29" s="1"/>
  <c r="AX13" i="29"/>
  <c r="AY13" i="29" s="1"/>
  <c r="AZ13" i="29" s="1"/>
  <c r="BA13" i="29"/>
  <c r="BB13" i="29" s="1"/>
  <c r="BC13" i="29" s="1"/>
  <c r="BD13" i="29"/>
  <c r="BE13" i="29" s="1"/>
  <c r="BF13" i="29" s="1"/>
  <c r="BG13" i="29"/>
  <c r="BH13" i="29" s="1"/>
  <c r="BI13" i="29" s="1"/>
  <c r="BJ13" i="29"/>
  <c r="BK13" i="29" s="1"/>
  <c r="BL13" i="29" s="1"/>
  <c r="BM13" i="29"/>
  <c r="BN13" i="29" s="1"/>
  <c r="BO13" i="29" s="1"/>
  <c r="BP13" i="29"/>
  <c r="BQ13" i="29" s="1"/>
  <c r="BR13" i="29" s="1"/>
  <c r="E14" i="29"/>
  <c r="F14" i="29" s="1"/>
  <c r="G14" i="29" s="1"/>
  <c r="H14" i="29"/>
  <c r="I14" i="29" s="1"/>
  <c r="J14" i="29" s="1"/>
  <c r="K14" i="29"/>
  <c r="L14" i="29" s="1"/>
  <c r="M14" i="29" s="1"/>
  <c r="N14" i="29"/>
  <c r="O14" i="29" s="1"/>
  <c r="P14" i="29" s="1"/>
  <c r="Q14" i="29"/>
  <c r="R14" i="29" s="1"/>
  <c r="S14" i="29" s="1"/>
  <c r="T14" i="29"/>
  <c r="U14" i="29" s="1"/>
  <c r="V14" i="29" s="1"/>
  <c r="W14" i="29"/>
  <c r="X14" i="29" s="1"/>
  <c r="Y14" i="29" s="1"/>
  <c r="Z14" i="29"/>
  <c r="AA14" i="29" s="1"/>
  <c r="AB14" i="29" s="1"/>
  <c r="AC14" i="29"/>
  <c r="AD14" i="29" s="1"/>
  <c r="AE14" i="29" s="1"/>
  <c r="AF14" i="29"/>
  <c r="AG14" i="29" s="1"/>
  <c r="AH14" i="29" s="1"/>
  <c r="AI14" i="29"/>
  <c r="AJ14" i="29" s="1"/>
  <c r="AK14" i="29" s="1"/>
  <c r="AL14" i="29"/>
  <c r="AM14" i="29" s="1"/>
  <c r="AN14" i="29" s="1"/>
  <c r="AO14" i="29"/>
  <c r="AP14" i="29" s="1"/>
  <c r="AQ14" i="29" s="1"/>
  <c r="AR14" i="29"/>
  <c r="AS14" i="29" s="1"/>
  <c r="AT14" i="29" s="1"/>
  <c r="AU14" i="29"/>
  <c r="AV14" i="29" s="1"/>
  <c r="AW14" i="29" s="1"/>
  <c r="AX14" i="29"/>
  <c r="AY14" i="29" s="1"/>
  <c r="AZ14" i="29" s="1"/>
  <c r="BA14" i="29"/>
  <c r="BB14" i="29" s="1"/>
  <c r="BC14" i="29" s="1"/>
  <c r="BD14" i="29"/>
  <c r="BE14" i="29" s="1"/>
  <c r="BF14" i="29" s="1"/>
  <c r="BG14" i="29"/>
  <c r="BH14" i="29" s="1"/>
  <c r="BI14" i="29" s="1"/>
  <c r="BJ14" i="29"/>
  <c r="BK14" i="29" s="1"/>
  <c r="BL14" i="29" s="1"/>
  <c r="BM14" i="29"/>
  <c r="BN14" i="29" s="1"/>
  <c r="BO14" i="29" s="1"/>
  <c r="BP14" i="29"/>
  <c r="BQ14" i="29" s="1"/>
  <c r="BR14" i="29" s="1"/>
  <c r="E15" i="29"/>
  <c r="F15" i="29" s="1"/>
  <c r="G15" i="29" s="1"/>
  <c r="H15" i="29"/>
  <c r="I15" i="29" s="1"/>
  <c r="J15" i="29" s="1"/>
  <c r="K15" i="29"/>
  <c r="L15" i="29" s="1"/>
  <c r="M15" i="29" s="1"/>
  <c r="N15" i="29"/>
  <c r="O15" i="29" s="1"/>
  <c r="P15" i="29" s="1"/>
  <c r="Q15" i="29"/>
  <c r="R15" i="29" s="1"/>
  <c r="S15" i="29" s="1"/>
  <c r="T15" i="29"/>
  <c r="U15" i="29" s="1"/>
  <c r="V15" i="29" s="1"/>
  <c r="W15" i="29"/>
  <c r="X15" i="29" s="1"/>
  <c r="Y15" i="29" s="1"/>
  <c r="Z15" i="29"/>
  <c r="AA15" i="29" s="1"/>
  <c r="AB15" i="29" s="1"/>
  <c r="AC15" i="29"/>
  <c r="AD15" i="29" s="1"/>
  <c r="AE15" i="29" s="1"/>
  <c r="AF15" i="29"/>
  <c r="AG15" i="29" s="1"/>
  <c r="AH15" i="29" s="1"/>
  <c r="AI15" i="29"/>
  <c r="AJ15" i="29" s="1"/>
  <c r="AK15" i="29" s="1"/>
  <c r="AL15" i="29"/>
  <c r="AM15" i="29" s="1"/>
  <c r="AN15" i="29" s="1"/>
  <c r="AO15" i="29"/>
  <c r="AP15" i="29" s="1"/>
  <c r="AQ15" i="29" s="1"/>
  <c r="AR15" i="29"/>
  <c r="AS15" i="29" s="1"/>
  <c r="AT15" i="29" s="1"/>
  <c r="AU15" i="29"/>
  <c r="AV15" i="29" s="1"/>
  <c r="AW15" i="29" s="1"/>
  <c r="AX15" i="29"/>
  <c r="AY15" i="29" s="1"/>
  <c r="AZ15" i="29" s="1"/>
  <c r="BA15" i="29"/>
  <c r="BB15" i="29" s="1"/>
  <c r="BC15" i="29" s="1"/>
  <c r="BD15" i="29"/>
  <c r="BE15" i="29" s="1"/>
  <c r="BF15" i="29" s="1"/>
  <c r="BG15" i="29"/>
  <c r="BH15" i="29" s="1"/>
  <c r="BI15" i="29" s="1"/>
  <c r="BJ15" i="29"/>
  <c r="BK15" i="29" s="1"/>
  <c r="BL15" i="29" s="1"/>
  <c r="BM15" i="29"/>
  <c r="BN15" i="29" s="1"/>
  <c r="BO15" i="29" s="1"/>
  <c r="BP15" i="29"/>
  <c r="BQ15" i="29" s="1"/>
  <c r="BR15" i="29" s="1"/>
  <c r="E16" i="29"/>
  <c r="F16" i="29" s="1"/>
  <c r="G16" i="29" s="1"/>
  <c r="H16" i="29"/>
  <c r="I16" i="29" s="1"/>
  <c r="J16" i="29" s="1"/>
  <c r="K16" i="29"/>
  <c r="L16" i="29" s="1"/>
  <c r="M16" i="29" s="1"/>
  <c r="N16" i="29"/>
  <c r="O16" i="29" s="1"/>
  <c r="P16" i="29" s="1"/>
  <c r="Q16" i="29"/>
  <c r="R16" i="29" s="1"/>
  <c r="S16" i="29" s="1"/>
  <c r="T16" i="29"/>
  <c r="U16" i="29" s="1"/>
  <c r="V16" i="29" s="1"/>
  <c r="W16" i="29"/>
  <c r="X16" i="29" s="1"/>
  <c r="Y16" i="29" s="1"/>
  <c r="Z16" i="29"/>
  <c r="AA16" i="29" s="1"/>
  <c r="AB16" i="29" s="1"/>
  <c r="AC16" i="29"/>
  <c r="AD16" i="29" s="1"/>
  <c r="AE16" i="29" s="1"/>
  <c r="AF16" i="29"/>
  <c r="AG16" i="29" s="1"/>
  <c r="AH16" i="29" s="1"/>
  <c r="AI16" i="29"/>
  <c r="AJ16" i="29" s="1"/>
  <c r="AK16" i="29" s="1"/>
  <c r="AL16" i="29"/>
  <c r="AM16" i="29" s="1"/>
  <c r="AN16" i="29" s="1"/>
  <c r="AO16" i="29"/>
  <c r="AP16" i="29" s="1"/>
  <c r="AQ16" i="29" s="1"/>
  <c r="AR16" i="29"/>
  <c r="AS16" i="29" s="1"/>
  <c r="AT16" i="29" s="1"/>
  <c r="AU16" i="29"/>
  <c r="AV16" i="29" s="1"/>
  <c r="AW16" i="29" s="1"/>
  <c r="AX16" i="29"/>
  <c r="AY16" i="29" s="1"/>
  <c r="AZ16" i="29" s="1"/>
  <c r="BA16" i="29"/>
  <c r="BB16" i="29" s="1"/>
  <c r="BC16" i="29" s="1"/>
  <c r="BD16" i="29"/>
  <c r="BE16" i="29" s="1"/>
  <c r="BF16" i="29" s="1"/>
  <c r="BG16" i="29"/>
  <c r="BH16" i="29" s="1"/>
  <c r="BI16" i="29" s="1"/>
  <c r="BJ16" i="29"/>
  <c r="BK16" i="29" s="1"/>
  <c r="BL16" i="29" s="1"/>
  <c r="BM16" i="29"/>
  <c r="BN16" i="29" s="1"/>
  <c r="BO16" i="29" s="1"/>
  <c r="BP16" i="29"/>
  <c r="BQ16" i="29" s="1"/>
  <c r="BR16" i="29" s="1"/>
  <c r="E17" i="29"/>
  <c r="F17" i="29" s="1"/>
  <c r="G17" i="29" s="1"/>
  <c r="H17" i="29"/>
  <c r="I17" i="29" s="1"/>
  <c r="J17" i="29" s="1"/>
  <c r="K17" i="29"/>
  <c r="L17" i="29" s="1"/>
  <c r="M17" i="29" s="1"/>
  <c r="N17" i="29"/>
  <c r="O17" i="29" s="1"/>
  <c r="P17" i="29" s="1"/>
  <c r="Q17" i="29"/>
  <c r="R17" i="29" s="1"/>
  <c r="S17" i="29" s="1"/>
  <c r="T17" i="29"/>
  <c r="U17" i="29" s="1"/>
  <c r="V17" i="29" s="1"/>
  <c r="W17" i="29"/>
  <c r="X17" i="29" s="1"/>
  <c r="Y17" i="29" s="1"/>
  <c r="Z17" i="29"/>
  <c r="AA17" i="29" s="1"/>
  <c r="AB17" i="29" s="1"/>
  <c r="AC17" i="29"/>
  <c r="AD17" i="29" s="1"/>
  <c r="AE17" i="29" s="1"/>
  <c r="AF17" i="29"/>
  <c r="AG17" i="29" s="1"/>
  <c r="AH17" i="29" s="1"/>
  <c r="AI17" i="29"/>
  <c r="AJ17" i="29" s="1"/>
  <c r="AK17" i="29" s="1"/>
  <c r="AL17" i="29"/>
  <c r="AM17" i="29" s="1"/>
  <c r="AN17" i="29" s="1"/>
  <c r="AO17" i="29"/>
  <c r="AP17" i="29" s="1"/>
  <c r="AQ17" i="29" s="1"/>
  <c r="AR17" i="29"/>
  <c r="AS17" i="29" s="1"/>
  <c r="AT17" i="29" s="1"/>
  <c r="AU17" i="29"/>
  <c r="AV17" i="29" s="1"/>
  <c r="AW17" i="29" s="1"/>
  <c r="AX17" i="29"/>
  <c r="AY17" i="29" s="1"/>
  <c r="AZ17" i="29" s="1"/>
  <c r="BA17" i="29"/>
  <c r="BB17" i="29" s="1"/>
  <c r="BC17" i="29" s="1"/>
  <c r="BD17" i="29"/>
  <c r="BE17" i="29" s="1"/>
  <c r="BF17" i="29" s="1"/>
  <c r="BG17" i="29"/>
  <c r="BH17" i="29" s="1"/>
  <c r="BI17" i="29" s="1"/>
  <c r="BJ17" i="29"/>
  <c r="BK17" i="29" s="1"/>
  <c r="BL17" i="29" s="1"/>
  <c r="BM17" i="29"/>
  <c r="BN17" i="29" s="1"/>
  <c r="BO17" i="29" s="1"/>
  <c r="BP17" i="29"/>
  <c r="BQ17" i="29" s="1"/>
  <c r="BR17" i="29" s="1"/>
  <c r="E18" i="29"/>
  <c r="F18" i="29" s="1"/>
  <c r="G18" i="29" s="1"/>
  <c r="H18" i="29"/>
  <c r="I18" i="29" s="1"/>
  <c r="J18" i="29" s="1"/>
  <c r="K18" i="29"/>
  <c r="L18" i="29" s="1"/>
  <c r="M18" i="29" s="1"/>
  <c r="N18" i="29"/>
  <c r="O18" i="29" s="1"/>
  <c r="P18" i="29" s="1"/>
  <c r="Q18" i="29"/>
  <c r="R18" i="29" s="1"/>
  <c r="S18" i="29" s="1"/>
  <c r="T18" i="29"/>
  <c r="U18" i="29" s="1"/>
  <c r="V18" i="29" s="1"/>
  <c r="W18" i="29"/>
  <c r="X18" i="29" s="1"/>
  <c r="Y18" i="29" s="1"/>
  <c r="Z18" i="29"/>
  <c r="AA18" i="29" s="1"/>
  <c r="AB18" i="29" s="1"/>
  <c r="AC18" i="29"/>
  <c r="AD18" i="29" s="1"/>
  <c r="AE18" i="29" s="1"/>
  <c r="AF18" i="29"/>
  <c r="AG18" i="29" s="1"/>
  <c r="AH18" i="29" s="1"/>
  <c r="AI18" i="29"/>
  <c r="AJ18" i="29" s="1"/>
  <c r="AK18" i="29" s="1"/>
  <c r="AL18" i="29"/>
  <c r="AM18" i="29" s="1"/>
  <c r="AN18" i="29" s="1"/>
  <c r="AO18" i="29"/>
  <c r="AP18" i="29" s="1"/>
  <c r="AQ18" i="29" s="1"/>
  <c r="AR18" i="29"/>
  <c r="AS18" i="29" s="1"/>
  <c r="AT18" i="29" s="1"/>
  <c r="AU18" i="29"/>
  <c r="AV18" i="29" s="1"/>
  <c r="AW18" i="29" s="1"/>
  <c r="AX18" i="29"/>
  <c r="AY18" i="29" s="1"/>
  <c r="AZ18" i="29" s="1"/>
  <c r="BA18" i="29"/>
  <c r="BB18" i="29" s="1"/>
  <c r="BC18" i="29" s="1"/>
  <c r="BD18" i="29"/>
  <c r="BE18" i="29" s="1"/>
  <c r="BF18" i="29" s="1"/>
  <c r="BG18" i="29"/>
  <c r="BH18" i="29" s="1"/>
  <c r="BI18" i="29" s="1"/>
  <c r="BJ18" i="29"/>
  <c r="BK18" i="29" s="1"/>
  <c r="BL18" i="29" s="1"/>
  <c r="BM18" i="29"/>
  <c r="BN18" i="29" s="1"/>
  <c r="BO18" i="29" s="1"/>
  <c r="BP18" i="29"/>
  <c r="BQ18" i="29" s="1"/>
  <c r="BR18" i="29" s="1"/>
  <c r="E19" i="29"/>
  <c r="F19" i="29" s="1"/>
  <c r="G19" i="29" s="1"/>
  <c r="H19" i="29"/>
  <c r="I19" i="29" s="1"/>
  <c r="J19" i="29" s="1"/>
  <c r="K19" i="29"/>
  <c r="L19" i="29" s="1"/>
  <c r="M19" i="29" s="1"/>
  <c r="N19" i="29"/>
  <c r="O19" i="29" s="1"/>
  <c r="P19" i="29" s="1"/>
  <c r="Q19" i="29"/>
  <c r="R19" i="29" s="1"/>
  <c r="S19" i="29" s="1"/>
  <c r="T19" i="29"/>
  <c r="U19" i="29" s="1"/>
  <c r="V19" i="29" s="1"/>
  <c r="W19" i="29"/>
  <c r="X19" i="29" s="1"/>
  <c r="Y19" i="29" s="1"/>
  <c r="Z19" i="29"/>
  <c r="AA19" i="29" s="1"/>
  <c r="AB19" i="29" s="1"/>
  <c r="AC19" i="29"/>
  <c r="AD19" i="29" s="1"/>
  <c r="AE19" i="29" s="1"/>
  <c r="AF19" i="29"/>
  <c r="AG19" i="29" s="1"/>
  <c r="AH19" i="29" s="1"/>
  <c r="AI19" i="29"/>
  <c r="AJ19" i="29" s="1"/>
  <c r="AK19" i="29" s="1"/>
  <c r="AL19" i="29"/>
  <c r="AM19" i="29" s="1"/>
  <c r="AN19" i="29" s="1"/>
  <c r="AO19" i="29"/>
  <c r="AP19" i="29" s="1"/>
  <c r="AQ19" i="29" s="1"/>
  <c r="AR19" i="29"/>
  <c r="AS19" i="29" s="1"/>
  <c r="AT19" i="29" s="1"/>
  <c r="AU19" i="29"/>
  <c r="AV19" i="29" s="1"/>
  <c r="AW19" i="29" s="1"/>
  <c r="AX19" i="29"/>
  <c r="AY19" i="29" s="1"/>
  <c r="AZ19" i="29" s="1"/>
  <c r="BA19" i="29"/>
  <c r="BB19" i="29" s="1"/>
  <c r="BC19" i="29" s="1"/>
  <c r="BD19" i="29"/>
  <c r="BE19" i="29" s="1"/>
  <c r="BF19" i="29" s="1"/>
  <c r="BG19" i="29"/>
  <c r="BH19" i="29" s="1"/>
  <c r="BI19" i="29" s="1"/>
  <c r="BJ19" i="29"/>
  <c r="BK19" i="29" s="1"/>
  <c r="BL19" i="29" s="1"/>
  <c r="BM19" i="29"/>
  <c r="BN19" i="29" s="1"/>
  <c r="BO19" i="29" s="1"/>
  <c r="BP19" i="29"/>
  <c r="BQ19" i="29" s="1"/>
  <c r="BR19" i="29" s="1"/>
  <c r="E20" i="29"/>
  <c r="F20" i="29" s="1"/>
  <c r="G20" i="29" s="1"/>
  <c r="H20" i="29"/>
  <c r="I20" i="29" s="1"/>
  <c r="J20" i="29" s="1"/>
  <c r="K20" i="29"/>
  <c r="L20" i="29" s="1"/>
  <c r="M20" i="29" s="1"/>
  <c r="N20" i="29"/>
  <c r="O20" i="29" s="1"/>
  <c r="P20" i="29" s="1"/>
  <c r="Q20" i="29"/>
  <c r="R20" i="29" s="1"/>
  <c r="S20" i="29" s="1"/>
  <c r="T20" i="29"/>
  <c r="U20" i="29" s="1"/>
  <c r="V20" i="29" s="1"/>
  <c r="W20" i="29"/>
  <c r="X20" i="29" s="1"/>
  <c r="Y20" i="29" s="1"/>
  <c r="Z20" i="29"/>
  <c r="AA20" i="29" s="1"/>
  <c r="AB20" i="29" s="1"/>
  <c r="AC20" i="29"/>
  <c r="AD20" i="29" s="1"/>
  <c r="AE20" i="29" s="1"/>
  <c r="AF20" i="29"/>
  <c r="AG20" i="29" s="1"/>
  <c r="AH20" i="29" s="1"/>
  <c r="AI20" i="29"/>
  <c r="AJ20" i="29" s="1"/>
  <c r="AK20" i="29" s="1"/>
  <c r="AL20" i="29"/>
  <c r="AM20" i="29" s="1"/>
  <c r="AN20" i="29" s="1"/>
  <c r="AO20" i="29"/>
  <c r="AP20" i="29" s="1"/>
  <c r="AQ20" i="29" s="1"/>
  <c r="AR20" i="29"/>
  <c r="AS20" i="29" s="1"/>
  <c r="AT20" i="29" s="1"/>
  <c r="AU20" i="29"/>
  <c r="AV20" i="29" s="1"/>
  <c r="AW20" i="29" s="1"/>
  <c r="AX20" i="29"/>
  <c r="AY20" i="29" s="1"/>
  <c r="AZ20" i="29" s="1"/>
  <c r="BA20" i="29"/>
  <c r="BB20" i="29" s="1"/>
  <c r="BC20" i="29" s="1"/>
  <c r="BD20" i="29"/>
  <c r="BE20" i="29" s="1"/>
  <c r="BF20" i="29" s="1"/>
  <c r="BG20" i="29"/>
  <c r="BH20" i="29" s="1"/>
  <c r="BI20" i="29" s="1"/>
  <c r="BJ20" i="29"/>
  <c r="BK20" i="29" s="1"/>
  <c r="BL20" i="29" s="1"/>
  <c r="BM20" i="29"/>
  <c r="BN20" i="29" s="1"/>
  <c r="BO20" i="29" s="1"/>
  <c r="BP20" i="29"/>
  <c r="BQ20" i="29" s="1"/>
  <c r="BR20" i="29" s="1"/>
  <c r="E21" i="29"/>
  <c r="F21" i="29" s="1"/>
  <c r="G21" i="29" s="1"/>
  <c r="H21" i="29"/>
  <c r="I21" i="29" s="1"/>
  <c r="J21" i="29" s="1"/>
  <c r="K21" i="29"/>
  <c r="L21" i="29" s="1"/>
  <c r="M21" i="29" s="1"/>
  <c r="N21" i="29"/>
  <c r="O21" i="29" s="1"/>
  <c r="P21" i="29" s="1"/>
  <c r="Q21" i="29"/>
  <c r="R21" i="29" s="1"/>
  <c r="S21" i="29" s="1"/>
  <c r="T21" i="29"/>
  <c r="U21" i="29" s="1"/>
  <c r="V21" i="29" s="1"/>
  <c r="W21" i="29"/>
  <c r="X21" i="29" s="1"/>
  <c r="Y21" i="29" s="1"/>
  <c r="Z21" i="29"/>
  <c r="AA21" i="29" s="1"/>
  <c r="AB21" i="29" s="1"/>
  <c r="AC21" i="29"/>
  <c r="AD21" i="29" s="1"/>
  <c r="AE21" i="29" s="1"/>
  <c r="AF21" i="29"/>
  <c r="AG21" i="29" s="1"/>
  <c r="AH21" i="29" s="1"/>
  <c r="AI21" i="29"/>
  <c r="AJ21" i="29" s="1"/>
  <c r="AK21" i="29" s="1"/>
  <c r="AL21" i="29"/>
  <c r="AM21" i="29" s="1"/>
  <c r="AN21" i="29" s="1"/>
  <c r="AO21" i="29"/>
  <c r="AP21" i="29" s="1"/>
  <c r="AQ21" i="29" s="1"/>
  <c r="AR21" i="29"/>
  <c r="AS21" i="29" s="1"/>
  <c r="AT21" i="29" s="1"/>
  <c r="AU21" i="29"/>
  <c r="AV21" i="29" s="1"/>
  <c r="AW21" i="29" s="1"/>
  <c r="AX21" i="29"/>
  <c r="AY21" i="29" s="1"/>
  <c r="AZ21" i="29" s="1"/>
  <c r="BA21" i="29"/>
  <c r="BB21" i="29" s="1"/>
  <c r="BC21" i="29" s="1"/>
  <c r="BD21" i="29"/>
  <c r="BE21" i="29" s="1"/>
  <c r="BF21" i="29" s="1"/>
  <c r="BG21" i="29"/>
  <c r="BH21" i="29" s="1"/>
  <c r="BI21" i="29" s="1"/>
  <c r="BJ21" i="29"/>
  <c r="BK21" i="29" s="1"/>
  <c r="BL21" i="29" s="1"/>
  <c r="BM21" i="29"/>
  <c r="BN21" i="29" s="1"/>
  <c r="BO21" i="29" s="1"/>
  <c r="BP21" i="29"/>
  <c r="BQ21" i="29" s="1"/>
  <c r="BR21" i="29" s="1"/>
  <c r="E22" i="29"/>
  <c r="F22" i="29" s="1"/>
  <c r="G22" i="29" s="1"/>
  <c r="H22" i="29"/>
  <c r="I22" i="29" s="1"/>
  <c r="J22" i="29" s="1"/>
  <c r="K22" i="29"/>
  <c r="L22" i="29" s="1"/>
  <c r="M22" i="29" s="1"/>
  <c r="N22" i="29"/>
  <c r="O22" i="29" s="1"/>
  <c r="P22" i="29" s="1"/>
  <c r="Q22" i="29"/>
  <c r="R22" i="29" s="1"/>
  <c r="S22" i="29" s="1"/>
  <c r="T22" i="29"/>
  <c r="U22" i="29" s="1"/>
  <c r="V22" i="29" s="1"/>
  <c r="W22" i="29"/>
  <c r="X22" i="29" s="1"/>
  <c r="Y22" i="29" s="1"/>
  <c r="Z22" i="29"/>
  <c r="AA22" i="29" s="1"/>
  <c r="AB22" i="29" s="1"/>
  <c r="AC22" i="29"/>
  <c r="AD22" i="29" s="1"/>
  <c r="AE22" i="29" s="1"/>
  <c r="AF22" i="29"/>
  <c r="AG22" i="29" s="1"/>
  <c r="AH22" i="29" s="1"/>
  <c r="AI22" i="29"/>
  <c r="AJ22" i="29" s="1"/>
  <c r="AK22" i="29" s="1"/>
  <c r="AL22" i="29"/>
  <c r="AM22" i="29" s="1"/>
  <c r="AN22" i="29" s="1"/>
  <c r="AO22" i="29"/>
  <c r="AP22" i="29" s="1"/>
  <c r="AQ22" i="29" s="1"/>
  <c r="AR22" i="29"/>
  <c r="AS22" i="29" s="1"/>
  <c r="AT22" i="29" s="1"/>
  <c r="AU22" i="29"/>
  <c r="AV22" i="29" s="1"/>
  <c r="AW22" i="29" s="1"/>
  <c r="AX22" i="29"/>
  <c r="AY22" i="29" s="1"/>
  <c r="AZ22" i="29" s="1"/>
  <c r="BA22" i="29"/>
  <c r="BB22" i="29" s="1"/>
  <c r="BC22" i="29" s="1"/>
  <c r="BD22" i="29"/>
  <c r="BE22" i="29" s="1"/>
  <c r="BF22" i="29" s="1"/>
  <c r="BG22" i="29"/>
  <c r="BH22" i="29" s="1"/>
  <c r="BI22" i="29" s="1"/>
  <c r="BJ22" i="29"/>
  <c r="BK22" i="29" s="1"/>
  <c r="BL22" i="29" s="1"/>
  <c r="BM22" i="29"/>
  <c r="BN22" i="29" s="1"/>
  <c r="BO22" i="29" s="1"/>
  <c r="BP22" i="29"/>
  <c r="BQ22" i="29" s="1"/>
  <c r="BR22" i="29" s="1"/>
  <c r="E23" i="29"/>
  <c r="F23" i="29" s="1"/>
  <c r="G23" i="29" s="1"/>
  <c r="H23" i="29"/>
  <c r="I23" i="29" s="1"/>
  <c r="J23" i="29" s="1"/>
  <c r="K23" i="29"/>
  <c r="L23" i="29" s="1"/>
  <c r="M23" i="29" s="1"/>
  <c r="N23" i="29"/>
  <c r="O23" i="29" s="1"/>
  <c r="P23" i="29" s="1"/>
  <c r="Q23" i="29"/>
  <c r="R23" i="29" s="1"/>
  <c r="S23" i="29" s="1"/>
  <c r="T23" i="29"/>
  <c r="U23" i="29" s="1"/>
  <c r="V23" i="29" s="1"/>
  <c r="W23" i="29"/>
  <c r="X23" i="29" s="1"/>
  <c r="Y23" i="29" s="1"/>
  <c r="Z23" i="29"/>
  <c r="AA23" i="29" s="1"/>
  <c r="AB23" i="29" s="1"/>
  <c r="AC23" i="29"/>
  <c r="AD23" i="29" s="1"/>
  <c r="AE23" i="29" s="1"/>
  <c r="AF23" i="29"/>
  <c r="AG23" i="29" s="1"/>
  <c r="AH23" i="29" s="1"/>
  <c r="AI23" i="29"/>
  <c r="AJ23" i="29" s="1"/>
  <c r="AK23" i="29" s="1"/>
  <c r="AL23" i="29"/>
  <c r="AM23" i="29" s="1"/>
  <c r="AN23" i="29" s="1"/>
  <c r="AO23" i="29"/>
  <c r="AP23" i="29" s="1"/>
  <c r="AQ23" i="29" s="1"/>
  <c r="AR23" i="29"/>
  <c r="AS23" i="29" s="1"/>
  <c r="AT23" i="29" s="1"/>
  <c r="AU23" i="29"/>
  <c r="AV23" i="29" s="1"/>
  <c r="AW23" i="29" s="1"/>
  <c r="AX23" i="29"/>
  <c r="AY23" i="29" s="1"/>
  <c r="AZ23" i="29" s="1"/>
  <c r="BA23" i="29"/>
  <c r="BB23" i="29" s="1"/>
  <c r="BC23" i="29" s="1"/>
  <c r="BD23" i="29"/>
  <c r="BE23" i="29" s="1"/>
  <c r="BF23" i="29" s="1"/>
  <c r="BG23" i="29"/>
  <c r="BH23" i="29" s="1"/>
  <c r="BI23" i="29" s="1"/>
  <c r="BJ23" i="29"/>
  <c r="BK23" i="29" s="1"/>
  <c r="BL23" i="29" s="1"/>
  <c r="BM23" i="29"/>
  <c r="BN23" i="29" s="1"/>
  <c r="BO23" i="29" s="1"/>
  <c r="BP23" i="29"/>
  <c r="BQ23" i="29" s="1"/>
  <c r="BR23" i="29" s="1"/>
  <c r="E24" i="29"/>
  <c r="F24" i="29" s="1"/>
  <c r="G24" i="29" s="1"/>
  <c r="H24" i="29"/>
  <c r="I24" i="29" s="1"/>
  <c r="J24" i="29" s="1"/>
  <c r="K24" i="29"/>
  <c r="L24" i="29" s="1"/>
  <c r="M24" i="29" s="1"/>
  <c r="N24" i="29"/>
  <c r="O24" i="29" s="1"/>
  <c r="P24" i="29" s="1"/>
  <c r="Q24" i="29"/>
  <c r="R24" i="29" s="1"/>
  <c r="S24" i="29" s="1"/>
  <c r="T24" i="29"/>
  <c r="U24" i="29" s="1"/>
  <c r="V24" i="29" s="1"/>
  <c r="W24" i="29"/>
  <c r="X24" i="29" s="1"/>
  <c r="Y24" i="29" s="1"/>
  <c r="Z24" i="29"/>
  <c r="AA24" i="29" s="1"/>
  <c r="AB24" i="29" s="1"/>
  <c r="AC24" i="29"/>
  <c r="AD24" i="29" s="1"/>
  <c r="AE24" i="29" s="1"/>
  <c r="AF24" i="29"/>
  <c r="AG24" i="29" s="1"/>
  <c r="AH24" i="29" s="1"/>
  <c r="AI24" i="29"/>
  <c r="AJ24" i="29" s="1"/>
  <c r="AK24" i="29" s="1"/>
  <c r="AL24" i="29"/>
  <c r="AM24" i="29" s="1"/>
  <c r="AN24" i="29" s="1"/>
  <c r="AO24" i="29"/>
  <c r="AP24" i="29" s="1"/>
  <c r="AQ24" i="29" s="1"/>
  <c r="AR24" i="29"/>
  <c r="AS24" i="29" s="1"/>
  <c r="AT24" i="29" s="1"/>
  <c r="AU24" i="29"/>
  <c r="AV24" i="29" s="1"/>
  <c r="AW24" i="29" s="1"/>
  <c r="AX24" i="29"/>
  <c r="AY24" i="29" s="1"/>
  <c r="AZ24" i="29" s="1"/>
  <c r="BA24" i="29"/>
  <c r="BB24" i="29" s="1"/>
  <c r="BC24" i="29" s="1"/>
  <c r="BD24" i="29"/>
  <c r="BE24" i="29" s="1"/>
  <c r="BF24" i="29" s="1"/>
  <c r="BG24" i="29"/>
  <c r="BH24" i="29" s="1"/>
  <c r="BI24" i="29" s="1"/>
  <c r="BJ24" i="29"/>
  <c r="BK24" i="29" s="1"/>
  <c r="BL24" i="29" s="1"/>
  <c r="BM24" i="29"/>
  <c r="BN24" i="29" s="1"/>
  <c r="BO24" i="29" s="1"/>
  <c r="BP24" i="29"/>
  <c r="BQ24" i="29" s="1"/>
  <c r="BR24" i="29" s="1"/>
  <c r="E25" i="29"/>
  <c r="F25" i="29" s="1"/>
  <c r="G25" i="29" s="1"/>
  <c r="H25" i="29"/>
  <c r="I25" i="29" s="1"/>
  <c r="J25" i="29" s="1"/>
  <c r="K25" i="29"/>
  <c r="L25" i="29" s="1"/>
  <c r="M25" i="29" s="1"/>
  <c r="N25" i="29"/>
  <c r="O25" i="29" s="1"/>
  <c r="P25" i="29" s="1"/>
  <c r="Q25" i="29"/>
  <c r="R25" i="29" s="1"/>
  <c r="S25" i="29" s="1"/>
  <c r="T25" i="29"/>
  <c r="U25" i="29" s="1"/>
  <c r="V25" i="29" s="1"/>
  <c r="W25" i="29"/>
  <c r="X25" i="29" s="1"/>
  <c r="Y25" i="29" s="1"/>
  <c r="Z25" i="29"/>
  <c r="AA25" i="29" s="1"/>
  <c r="AB25" i="29" s="1"/>
  <c r="AC25" i="29"/>
  <c r="AD25" i="29" s="1"/>
  <c r="AE25" i="29" s="1"/>
  <c r="AF25" i="29"/>
  <c r="AG25" i="29" s="1"/>
  <c r="AH25" i="29" s="1"/>
  <c r="AI25" i="29"/>
  <c r="AJ25" i="29" s="1"/>
  <c r="AK25" i="29" s="1"/>
  <c r="AL25" i="29"/>
  <c r="AM25" i="29" s="1"/>
  <c r="AN25" i="29" s="1"/>
  <c r="AO25" i="29"/>
  <c r="AP25" i="29" s="1"/>
  <c r="AQ25" i="29" s="1"/>
  <c r="AR25" i="29"/>
  <c r="AS25" i="29" s="1"/>
  <c r="AT25" i="29" s="1"/>
  <c r="AU25" i="29"/>
  <c r="AV25" i="29" s="1"/>
  <c r="AW25" i="29" s="1"/>
  <c r="AX25" i="29"/>
  <c r="AY25" i="29" s="1"/>
  <c r="AZ25" i="29" s="1"/>
  <c r="BA25" i="29"/>
  <c r="BB25" i="29" s="1"/>
  <c r="BC25" i="29" s="1"/>
  <c r="BD25" i="29"/>
  <c r="BE25" i="29" s="1"/>
  <c r="BF25" i="29" s="1"/>
  <c r="BG25" i="29"/>
  <c r="BH25" i="29" s="1"/>
  <c r="BI25" i="29" s="1"/>
  <c r="BJ25" i="29"/>
  <c r="BK25" i="29" s="1"/>
  <c r="BL25" i="29" s="1"/>
  <c r="BM25" i="29"/>
  <c r="BN25" i="29" s="1"/>
  <c r="BO25" i="29" s="1"/>
  <c r="BP25" i="29"/>
  <c r="BQ25" i="29" s="1"/>
  <c r="BR25" i="29" s="1"/>
  <c r="C36" i="29"/>
  <c r="D36" i="29" s="1"/>
  <c r="B6" i="29"/>
  <c r="C6" i="29" s="1"/>
  <c r="D6" i="29" s="1"/>
  <c r="B7" i="29"/>
  <c r="C7" i="29" s="1"/>
  <c r="D7" i="29" s="1"/>
  <c r="B8" i="29"/>
  <c r="C8" i="29" s="1"/>
  <c r="D8" i="29" s="1"/>
  <c r="B9" i="29"/>
  <c r="C9" i="29" s="1"/>
  <c r="D9" i="29" s="1"/>
  <c r="B10" i="29"/>
  <c r="C10" i="29" s="1"/>
  <c r="D10" i="29" s="1"/>
  <c r="B11" i="29"/>
  <c r="C11" i="29" s="1"/>
  <c r="D11" i="29" s="1"/>
  <c r="B12" i="29"/>
  <c r="C12" i="29" s="1"/>
  <c r="D12" i="29" s="1"/>
  <c r="B13" i="29"/>
  <c r="C13" i="29" s="1"/>
  <c r="D13" i="29" s="1"/>
  <c r="B14" i="29"/>
  <c r="C14" i="29" s="1"/>
  <c r="D14" i="29" s="1"/>
  <c r="B15" i="29"/>
  <c r="C15" i="29" s="1"/>
  <c r="D15" i="29" s="1"/>
  <c r="B16" i="29"/>
  <c r="C16" i="29" s="1"/>
  <c r="D16" i="29" s="1"/>
  <c r="B17" i="29"/>
  <c r="C17" i="29" s="1"/>
  <c r="D17" i="29" s="1"/>
  <c r="B18" i="29"/>
  <c r="C18" i="29" s="1"/>
  <c r="D18" i="29" s="1"/>
  <c r="B19" i="29"/>
  <c r="C19" i="29" s="1"/>
  <c r="D19" i="29" s="1"/>
  <c r="B20" i="29"/>
  <c r="C20" i="29" s="1"/>
  <c r="D20" i="29" s="1"/>
  <c r="B21" i="29"/>
  <c r="C21" i="29" s="1"/>
  <c r="D21" i="29" s="1"/>
  <c r="B22" i="29"/>
  <c r="C22" i="29" s="1"/>
  <c r="D22" i="29" s="1"/>
  <c r="B23" i="29"/>
  <c r="C23" i="29" s="1"/>
  <c r="D23" i="29" s="1"/>
  <c r="B24" i="29"/>
  <c r="C24" i="29" s="1"/>
  <c r="D24" i="29" s="1"/>
  <c r="B25" i="29"/>
  <c r="C25" i="29" s="1"/>
  <c r="D25" i="29" s="1"/>
  <c r="BS4" i="29"/>
  <c r="BP4" i="29"/>
  <c r="BM4" i="29"/>
  <c r="BJ4" i="29"/>
  <c r="BG4" i="29"/>
  <c r="BD4" i="29"/>
  <c r="BA4" i="29"/>
  <c r="AX4" i="29"/>
  <c r="AU4" i="29"/>
  <c r="AR4" i="29"/>
  <c r="AO4" i="29"/>
  <c r="AL4" i="29"/>
  <c r="E4" i="29"/>
  <c r="H4" i="29"/>
  <c r="K4" i="29"/>
  <c r="N4" i="29"/>
  <c r="Q4" i="29"/>
  <c r="T4" i="29"/>
  <c r="W4" i="29"/>
  <c r="Z4" i="29"/>
  <c r="AC4" i="29"/>
  <c r="AF4" i="29"/>
  <c r="AI4" i="29"/>
  <c r="B4" i="29"/>
  <c r="BR4" i="3"/>
  <c r="D4" i="3"/>
  <c r="G41" i="29" l="1"/>
  <c r="BA8" i="13" l="1"/>
  <c r="U37" i="11" l="1"/>
  <c r="T37" i="11"/>
  <c r="M37" i="11"/>
  <c r="L37" i="11"/>
  <c r="E37" i="11"/>
  <c r="D37" i="11"/>
  <c r="U36" i="11"/>
  <c r="T36" i="11"/>
  <c r="M36" i="11"/>
  <c r="L36" i="11"/>
  <c r="E36" i="11"/>
  <c r="D36" i="11"/>
  <c r="AC36" i="7"/>
  <c r="AB36" i="7"/>
  <c r="AA36" i="7"/>
  <c r="X36" i="7"/>
  <c r="W36" i="7"/>
  <c r="V36" i="7"/>
  <c r="S36" i="7"/>
  <c r="R36" i="7"/>
  <c r="Q36" i="7"/>
  <c r="K36" i="7"/>
  <c r="J36" i="7"/>
  <c r="D36" i="7"/>
  <c r="L36" i="10"/>
  <c r="M36" i="10" s="1"/>
  <c r="I36" i="10"/>
  <c r="J36" i="10" s="1"/>
  <c r="F36" i="10"/>
  <c r="G36" i="10" s="1"/>
  <c r="C36" i="10"/>
  <c r="D36" i="10" s="1"/>
  <c r="BH36" i="24"/>
  <c r="BG36" i="24"/>
  <c r="BF36" i="24"/>
  <c r="BB36" i="24"/>
  <c r="BA36" i="24"/>
  <c r="AZ36" i="24"/>
  <c r="AV36" i="24"/>
  <c r="AU36" i="24"/>
  <c r="AT36" i="24"/>
  <c r="AP36" i="24"/>
  <c r="AO36" i="24"/>
  <c r="AN36" i="24"/>
  <c r="AJ36" i="24"/>
  <c r="AI36" i="24"/>
  <c r="AH36" i="24"/>
  <c r="AD36" i="24"/>
  <c r="AC36" i="24"/>
  <c r="AB36" i="24"/>
  <c r="X36" i="24"/>
  <c r="W36" i="24"/>
  <c r="V36" i="24"/>
  <c r="Q36" i="24"/>
  <c r="P36" i="24"/>
  <c r="M36" i="24"/>
  <c r="L36" i="24"/>
  <c r="I36" i="24"/>
  <c r="H36" i="24"/>
  <c r="E36" i="24"/>
  <c r="D36" i="24"/>
  <c r="EQ35" i="3"/>
  <c r="EP35" i="3"/>
  <c r="EO35" i="3"/>
  <c r="EK35" i="3"/>
  <c r="EJ35" i="3"/>
  <c r="EI35" i="3"/>
  <c r="DY35" i="3"/>
  <c r="DX35" i="3"/>
  <c r="DW35" i="3"/>
  <c r="DS35" i="3"/>
  <c r="DR35" i="3"/>
  <c r="DQ35" i="3"/>
  <c r="DG35" i="3"/>
  <c r="DF35" i="3"/>
  <c r="DE35" i="3"/>
  <c r="DA35" i="3"/>
  <c r="CZ35" i="3"/>
  <c r="CY35" i="3"/>
  <c r="CB35" i="3"/>
  <c r="CA35" i="3"/>
  <c r="CC35" i="3"/>
  <c r="BW35" i="3"/>
  <c r="BV35" i="3"/>
  <c r="BU35" i="3"/>
  <c r="BO35" i="3"/>
  <c r="BN35" i="3"/>
  <c r="BK35" i="3"/>
  <c r="BJ35" i="3"/>
  <c r="BC35" i="3"/>
  <c r="BB35" i="3"/>
  <c r="AY35" i="3"/>
  <c r="AX35" i="3"/>
  <c r="AQ35" i="3"/>
  <c r="AP35" i="3"/>
  <c r="AM35" i="3"/>
  <c r="AL35" i="3"/>
  <c r="AE35" i="3"/>
  <c r="AD35" i="3"/>
  <c r="Z35" i="3"/>
  <c r="AA35" i="3"/>
  <c r="J35" i="3"/>
  <c r="K35" i="3"/>
  <c r="F35" i="3"/>
  <c r="G35" i="3"/>
  <c r="I15" i="25" l="1"/>
  <c r="I16" i="25"/>
  <c r="I17" i="25"/>
  <c r="I18" i="25"/>
  <c r="BC6" i="13" l="1"/>
  <c r="Q4" i="13" s="1"/>
  <c r="M1" i="26" l="1"/>
  <c r="C15" i="27" l="1"/>
  <c r="C14" i="27"/>
  <c r="C13" i="27"/>
  <c r="C12" i="27"/>
  <c r="C11" i="27"/>
  <c r="C10" i="27"/>
  <c r="C18" i="27"/>
  <c r="BA6" i="13" l="1"/>
  <c r="BM2" i="31" l="1"/>
  <c r="F7" i="26"/>
  <c r="F8" i="26"/>
  <c r="F9" i="26"/>
  <c r="F10" i="26"/>
  <c r="F11" i="26"/>
  <c r="F12" i="26"/>
  <c r="F13" i="26"/>
  <c r="F14" i="26"/>
  <c r="F15" i="26"/>
  <c r="F16" i="26"/>
  <c r="F17" i="26"/>
  <c r="F18" i="26"/>
  <c r="F19" i="26"/>
  <c r="F20" i="26"/>
  <c r="F21" i="26"/>
  <c r="F22" i="26"/>
  <c r="F23" i="26"/>
  <c r="F24" i="26"/>
  <c r="F25" i="26"/>
  <c r="F26" i="26"/>
  <c r="F27" i="26"/>
  <c r="F28" i="26"/>
  <c r="F29" i="26"/>
  <c r="F30" i="26"/>
  <c r="F6" i="26"/>
  <c r="D15" i="27" l="1"/>
  <c r="D14" i="27"/>
  <c r="BY8" i="13"/>
  <c r="R2" i="31" s="1"/>
  <c r="AD2" i="31"/>
  <c r="AC2" i="31"/>
  <c r="U7" i="26"/>
  <c r="U8" i="26"/>
  <c r="U9" i="26"/>
  <c r="U10" i="26"/>
  <c r="U11" i="26"/>
  <c r="U12" i="26"/>
  <c r="U13" i="26"/>
  <c r="U14" i="26"/>
  <c r="U15" i="26"/>
  <c r="U16" i="26"/>
  <c r="U17" i="26"/>
  <c r="U18" i="26"/>
  <c r="U19" i="26"/>
  <c r="U20" i="26"/>
  <c r="U21" i="26"/>
  <c r="U22" i="26"/>
  <c r="U23" i="26"/>
  <c r="U24" i="26"/>
  <c r="U25" i="26"/>
  <c r="U26" i="26"/>
  <c r="U27" i="26"/>
  <c r="U28" i="26"/>
  <c r="U29" i="26"/>
  <c r="U30" i="26"/>
  <c r="U6" i="26"/>
  <c r="T7" i="26"/>
  <c r="T8" i="26"/>
  <c r="T9" i="26"/>
  <c r="T10" i="26"/>
  <c r="T11" i="26"/>
  <c r="T12" i="26"/>
  <c r="T13" i="26"/>
  <c r="T14" i="26"/>
  <c r="T15" i="26"/>
  <c r="T16" i="26"/>
  <c r="T17" i="26"/>
  <c r="T18" i="26"/>
  <c r="T19" i="26"/>
  <c r="T20" i="26"/>
  <c r="T21" i="26"/>
  <c r="T22" i="26"/>
  <c r="T23" i="26"/>
  <c r="T24" i="26"/>
  <c r="T25" i="26"/>
  <c r="T26" i="26"/>
  <c r="T27" i="26"/>
  <c r="T28" i="26"/>
  <c r="T29" i="26"/>
  <c r="T30" i="26"/>
  <c r="T6" i="26"/>
  <c r="S7" i="26"/>
  <c r="S8" i="26"/>
  <c r="S9" i="26"/>
  <c r="S10" i="26"/>
  <c r="S11" i="26"/>
  <c r="S12" i="26"/>
  <c r="S13" i="26"/>
  <c r="S14" i="26"/>
  <c r="S15" i="26"/>
  <c r="S16" i="26"/>
  <c r="S17" i="26"/>
  <c r="S18" i="26"/>
  <c r="S19" i="26"/>
  <c r="S20" i="26"/>
  <c r="S21" i="26"/>
  <c r="S22" i="26"/>
  <c r="S23" i="26"/>
  <c r="S24" i="26"/>
  <c r="S25" i="26"/>
  <c r="S26" i="26"/>
  <c r="S27" i="26"/>
  <c r="S28" i="26"/>
  <c r="S29" i="26"/>
  <c r="S30" i="26"/>
  <c r="S6" i="26"/>
  <c r="R7" i="26"/>
  <c r="R8" i="26"/>
  <c r="R9" i="26"/>
  <c r="R10" i="26"/>
  <c r="R11" i="26"/>
  <c r="R12" i="26"/>
  <c r="R13" i="26"/>
  <c r="R14" i="26"/>
  <c r="R15" i="26"/>
  <c r="R16" i="26"/>
  <c r="R17" i="26"/>
  <c r="R18" i="26"/>
  <c r="R19" i="26"/>
  <c r="R20" i="26"/>
  <c r="R21" i="26"/>
  <c r="R22" i="26"/>
  <c r="R23" i="26"/>
  <c r="R24" i="26"/>
  <c r="R25" i="26"/>
  <c r="R26" i="26"/>
  <c r="R27" i="26"/>
  <c r="R28" i="26"/>
  <c r="R29" i="26"/>
  <c r="R30" i="26"/>
  <c r="R6" i="26"/>
  <c r="Q7" i="26"/>
  <c r="Q8" i="26"/>
  <c r="Q9" i="26"/>
  <c r="Q10" i="26"/>
  <c r="Q11" i="26"/>
  <c r="Q12" i="26"/>
  <c r="Q13" i="26"/>
  <c r="Q14" i="26"/>
  <c r="Q15" i="26"/>
  <c r="Q16" i="26"/>
  <c r="Q17" i="26"/>
  <c r="Q18" i="26"/>
  <c r="Q19" i="26"/>
  <c r="Q20" i="26"/>
  <c r="Q21" i="26"/>
  <c r="Q22" i="26"/>
  <c r="Q23" i="26"/>
  <c r="Q24" i="26"/>
  <c r="Q25" i="26"/>
  <c r="Q26" i="26"/>
  <c r="Q27" i="26"/>
  <c r="Q28" i="26"/>
  <c r="Q29" i="26"/>
  <c r="Q30" i="26"/>
  <c r="Q6" i="26"/>
  <c r="M7" i="26"/>
  <c r="N7" i="26"/>
  <c r="V7" i="26" s="1"/>
  <c r="O7" i="26"/>
  <c r="P7" i="26"/>
  <c r="M8" i="26"/>
  <c r="N8" i="26"/>
  <c r="V8" i="26" s="1"/>
  <c r="O8" i="26"/>
  <c r="P8" i="26"/>
  <c r="M9" i="26"/>
  <c r="N9" i="26"/>
  <c r="V9" i="26" s="1"/>
  <c r="O9" i="26"/>
  <c r="P9" i="26"/>
  <c r="M10" i="26"/>
  <c r="N10" i="26"/>
  <c r="V10" i="26" s="1"/>
  <c r="O10" i="26"/>
  <c r="P10" i="26"/>
  <c r="M11" i="26"/>
  <c r="N11" i="26"/>
  <c r="V11" i="26" s="1"/>
  <c r="O11" i="26"/>
  <c r="P11" i="26"/>
  <c r="M12" i="26"/>
  <c r="N12" i="26"/>
  <c r="V12" i="26" s="1"/>
  <c r="O12" i="26"/>
  <c r="P12" i="26"/>
  <c r="M13" i="26"/>
  <c r="N13" i="26"/>
  <c r="V13" i="26" s="1"/>
  <c r="O13" i="26"/>
  <c r="P13" i="26"/>
  <c r="M14" i="26"/>
  <c r="N14" i="26"/>
  <c r="V14" i="26" s="1"/>
  <c r="O14" i="26"/>
  <c r="P14" i="26"/>
  <c r="M15" i="26"/>
  <c r="N15" i="26"/>
  <c r="V15" i="26" s="1"/>
  <c r="O15" i="26"/>
  <c r="P15" i="26"/>
  <c r="M16" i="26"/>
  <c r="N16" i="26"/>
  <c r="V16" i="26" s="1"/>
  <c r="O16" i="26"/>
  <c r="P16" i="26"/>
  <c r="M17" i="26"/>
  <c r="N17" i="26"/>
  <c r="V17" i="26" s="1"/>
  <c r="O17" i="26"/>
  <c r="P17" i="26"/>
  <c r="M18" i="26"/>
  <c r="N18" i="26"/>
  <c r="V18" i="26" s="1"/>
  <c r="O18" i="26"/>
  <c r="P18" i="26"/>
  <c r="M19" i="26"/>
  <c r="N19" i="26"/>
  <c r="V19" i="26" s="1"/>
  <c r="O19" i="26"/>
  <c r="P19" i="26"/>
  <c r="M20" i="26"/>
  <c r="N20" i="26"/>
  <c r="V20" i="26" s="1"/>
  <c r="O20" i="26"/>
  <c r="P20" i="26"/>
  <c r="M21" i="26"/>
  <c r="N21" i="26"/>
  <c r="V21" i="26" s="1"/>
  <c r="O21" i="26"/>
  <c r="P21" i="26"/>
  <c r="M22" i="26"/>
  <c r="N22" i="26"/>
  <c r="V22" i="26" s="1"/>
  <c r="O22" i="26"/>
  <c r="P22" i="26"/>
  <c r="M23" i="26"/>
  <c r="N23" i="26"/>
  <c r="V23" i="26" s="1"/>
  <c r="O23" i="26"/>
  <c r="P23" i="26"/>
  <c r="M24" i="26"/>
  <c r="N24" i="26"/>
  <c r="V24" i="26" s="1"/>
  <c r="O24" i="26"/>
  <c r="P24" i="26"/>
  <c r="M25" i="26"/>
  <c r="N25" i="26"/>
  <c r="V25" i="26" s="1"/>
  <c r="O25" i="26"/>
  <c r="P25" i="26"/>
  <c r="M26" i="26"/>
  <c r="N26" i="26"/>
  <c r="V26" i="26" s="1"/>
  <c r="O26" i="26"/>
  <c r="P26" i="26"/>
  <c r="M27" i="26"/>
  <c r="N27" i="26"/>
  <c r="V27" i="26" s="1"/>
  <c r="O27" i="26"/>
  <c r="P27" i="26"/>
  <c r="M28" i="26"/>
  <c r="N28" i="26"/>
  <c r="V28" i="26" s="1"/>
  <c r="O28" i="26"/>
  <c r="P28" i="26"/>
  <c r="M29" i="26"/>
  <c r="N29" i="26"/>
  <c r="V29" i="26" s="1"/>
  <c r="O29" i="26"/>
  <c r="P29" i="26"/>
  <c r="M30" i="26"/>
  <c r="N30" i="26"/>
  <c r="V30" i="26" s="1"/>
  <c r="O30" i="26"/>
  <c r="P30" i="26"/>
  <c r="M6" i="26"/>
  <c r="N6" i="26"/>
  <c r="V6" i="26" s="1"/>
  <c r="O6" i="26"/>
  <c r="P6" i="26"/>
  <c r="K7" i="26"/>
  <c r="K8" i="26"/>
  <c r="K9" i="26"/>
  <c r="K10" i="26"/>
  <c r="K11" i="26"/>
  <c r="K12" i="26"/>
  <c r="K13" i="26"/>
  <c r="K14" i="26"/>
  <c r="K15" i="26"/>
  <c r="K16" i="26"/>
  <c r="K17" i="26"/>
  <c r="K18" i="26"/>
  <c r="K19" i="26"/>
  <c r="K20" i="26"/>
  <c r="K21" i="26"/>
  <c r="K22" i="26"/>
  <c r="K23" i="26"/>
  <c r="K24" i="26"/>
  <c r="K25" i="26"/>
  <c r="K26" i="26"/>
  <c r="K27" i="26"/>
  <c r="K28" i="26"/>
  <c r="K29" i="26"/>
  <c r="K30" i="26"/>
  <c r="K6" i="26"/>
  <c r="G7" i="26"/>
  <c r="H7" i="26"/>
  <c r="I7" i="26"/>
  <c r="J7" i="26"/>
  <c r="G8" i="26"/>
  <c r="H8" i="26"/>
  <c r="I8" i="26"/>
  <c r="J8" i="26"/>
  <c r="G9" i="26"/>
  <c r="H9" i="26"/>
  <c r="I9" i="26"/>
  <c r="J9" i="26"/>
  <c r="G10" i="26"/>
  <c r="H10" i="26"/>
  <c r="I10" i="26"/>
  <c r="J10" i="26"/>
  <c r="G11" i="26"/>
  <c r="H11" i="26"/>
  <c r="I11" i="26"/>
  <c r="J11" i="26"/>
  <c r="G12" i="26"/>
  <c r="H12" i="26"/>
  <c r="I12" i="26"/>
  <c r="J12" i="26"/>
  <c r="G13" i="26"/>
  <c r="H13" i="26"/>
  <c r="I13" i="26"/>
  <c r="J13" i="26"/>
  <c r="G14" i="26"/>
  <c r="H14" i="26"/>
  <c r="I14" i="26"/>
  <c r="J14" i="26"/>
  <c r="G15" i="26"/>
  <c r="H15" i="26"/>
  <c r="I15" i="26"/>
  <c r="J15" i="26"/>
  <c r="G16" i="26"/>
  <c r="H16" i="26"/>
  <c r="I16" i="26"/>
  <c r="J16" i="26"/>
  <c r="G17" i="26"/>
  <c r="H17" i="26"/>
  <c r="I17" i="26"/>
  <c r="J17" i="26"/>
  <c r="G18" i="26"/>
  <c r="H18" i="26"/>
  <c r="I18" i="26"/>
  <c r="J18" i="26"/>
  <c r="G19" i="26"/>
  <c r="H19" i="26"/>
  <c r="I19" i="26"/>
  <c r="J19" i="26"/>
  <c r="G20" i="26"/>
  <c r="H20" i="26"/>
  <c r="I20" i="26"/>
  <c r="J20" i="26"/>
  <c r="G21" i="26"/>
  <c r="H21" i="26"/>
  <c r="I21" i="26"/>
  <c r="J21" i="26"/>
  <c r="G22" i="26"/>
  <c r="H22" i="26"/>
  <c r="I22" i="26"/>
  <c r="J22" i="26"/>
  <c r="G23" i="26"/>
  <c r="H23" i="26"/>
  <c r="I23" i="26"/>
  <c r="J23" i="26"/>
  <c r="G24" i="26"/>
  <c r="H24" i="26"/>
  <c r="I24" i="26"/>
  <c r="J24" i="26"/>
  <c r="G25" i="26"/>
  <c r="H25" i="26"/>
  <c r="I25" i="26"/>
  <c r="J25" i="26"/>
  <c r="G26" i="26"/>
  <c r="H26" i="26"/>
  <c r="I26" i="26"/>
  <c r="J26" i="26"/>
  <c r="G27" i="26"/>
  <c r="H27" i="26"/>
  <c r="I27" i="26"/>
  <c r="J27" i="26"/>
  <c r="G28" i="26"/>
  <c r="H28" i="26"/>
  <c r="I28" i="26"/>
  <c r="J28" i="26"/>
  <c r="G29" i="26"/>
  <c r="H29" i="26"/>
  <c r="I29" i="26"/>
  <c r="J29" i="26"/>
  <c r="G30" i="26"/>
  <c r="H30" i="26"/>
  <c r="I30" i="26"/>
  <c r="J30" i="26"/>
  <c r="H6" i="26"/>
  <c r="I6" i="26"/>
  <c r="J6" i="26"/>
  <c r="G6" i="26"/>
  <c r="D7" i="26"/>
  <c r="D8" i="26"/>
  <c r="D9" i="26"/>
  <c r="D10" i="26"/>
  <c r="D11" i="26"/>
  <c r="D12" i="26"/>
  <c r="D13" i="26"/>
  <c r="D14" i="26"/>
  <c r="D15" i="26"/>
  <c r="D16" i="26"/>
  <c r="D17" i="26"/>
  <c r="D18" i="26"/>
  <c r="D19" i="26"/>
  <c r="D20" i="26"/>
  <c r="D21" i="26"/>
  <c r="D22" i="26"/>
  <c r="D23" i="26"/>
  <c r="D24" i="26"/>
  <c r="D25" i="26"/>
  <c r="D26" i="26"/>
  <c r="D27" i="26"/>
  <c r="D28" i="26"/>
  <c r="D29" i="26"/>
  <c r="D30" i="26"/>
  <c r="D6" i="26"/>
  <c r="C6" i="26"/>
  <c r="C7" i="26"/>
  <c r="C8" i="26"/>
  <c r="C9" i="26"/>
  <c r="C10" i="26"/>
  <c r="C11" i="26"/>
  <c r="C12" i="26"/>
  <c r="C13" i="26"/>
  <c r="C14" i="26"/>
  <c r="C15" i="26"/>
  <c r="C16" i="26"/>
  <c r="C17" i="26"/>
  <c r="C18" i="26"/>
  <c r="C19" i="26"/>
  <c r="C20" i="26"/>
  <c r="C21" i="26"/>
  <c r="C22" i="26"/>
  <c r="C23" i="26"/>
  <c r="C24" i="26"/>
  <c r="C25" i="26"/>
  <c r="C26" i="26"/>
  <c r="C27" i="26"/>
  <c r="C28" i="26"/>
  <c r="C29" i="26"/>
  <c r="C30" i="26"/>
  <c r="AF2" i="31" l="1"/>
  <c r="AE2" i="31"/>
  <c r="AG2" i="31"/>
  <c r="U31" i="26"/>
  <c r="R5" i="11"/>
  <c r="D13" i="27" l="1"/>
  <c r="D11" i="27"/>
  <c r="D12" i="27"/>
  <c r="D10" i="27"/>
  <c r="D5" i="27" l="1"/>
  <c r="BB10" i="31" l="1"/>
  <c r="Y2" i="31" l="1"/>
  <c r="BE8" i="13"/>
  <c r="I21" i="25" l="1"/>
  <c r="C21" i="25"/>
  <c r="F21" i="25" s="1"/>
  <c r="C15" i="25" l="1"/>
  <c r="F15" i="25" s="1"/>
  <c r="BK2" i="31" l="1"/>
  <c r="BL2" i="31"/>
  <c r="I20" i="25"/>
  <c r="C20" i="25"/>
  <c r="F20" i="25" s="1"/>
  <c r="AY8" i="13" l="1"/>
  <c r="CL8" i="13"/>
  <c r="BC2" i="31" s="1"/>
  <c r="G36" i="3"/>
  <c r="F36" i="3"/>
  <c r="BF2" i="31" l="1"/>
  <c r="AX5" i="11"/>
  <c r="I5" i="25" l="1"/>
  <c r="I6" i="25"/>
  <c r="I7" i="25"/>
  <c r="I8" i="25"/>
  <c r="I9" i="25"/>
  <c r="I10" i="25"/>
  <c r="I11" i="25"/>
  <c r="I13" i="25"/>
  <c r="I14" i="25"/>
  <c r="I19" i="25"/>
  <c r="I22" i="25"/>
  <c r="C17" i="25"/>
  <c r="F17" i="25" s="1"/>
  <c r="C11" i="25"/>
  <c r="F11" i="25" s="1"/>
  <c r="C9" i="25"/>
  <c r="F9" i="25" s="1"/>
  <c r="C7" i="25"/>
  <c r="F7" i="25" s="1"/>
  <c r="C5" i="25"/>
  <c r="F5" i="25" s="1"/>
  <c r="AD4" i="15" l="1"/>
  <c r="BN5" i="11"/>
  <c r="D16" i="23" l="1"/>
  <c r="P4" i="15" l="1"/>
  <c r="C5" i="8" l="1"/>
  <c r="A2" i="25"/>
  <c r="B2" i="25"/>
  <c r="E2" i="25"/>
  <c r="C4" i="25"/>
  <c r="F4" i="25" s="1"/>
  <c r="I4" i="25"/>
  <c r="C6" i="25"/>
  <c r="F6" i="25" s="1"/>
  <c r="C8" i="25"/>
  <c r="F8" i="25" s="1"/>
  <c r="C10" i="25"/>
  <c r="F10" i="25" s="1"/>
  <c r="C12" i="25"/>
  <c r="F12" i="25" s="1"/>
  <c r="C13" i="25"/>
  <c r="F13" i="25" s="1"/>
  <c r="C14" i="25"/>
  <c r="F14" i="25" s="1"/>
  <c r="C16" i="25"/>
  <c r="F16" i="25" s="1"/>
  <c r="C18" i="25"/>
  <c r="F18" i="25" s="1"/>
  <c r="C19" i="25"/>
  <c r="F19" i="25" s="1"/>
  <c r="C22" i="25"/>
  <c r="F22" i="25" s="1"/>
  <c r="AR2" i="13"/>
  <c r="AQ2" i="13"/>
  <c r="AP2" i="13"/>
  <c r="AO2" i="13"/>
  <c r="AN2" i="13"/>
  <c r="C2" i="25" l="1"/>
  <c r="D2" i="25" s="1"/>
  <c r="F2" i="25" l="1"/>
  <c r="K5" i="31" l="1"/>
  <c r="K8" i="31"/>
  <c r="K11" i="31"/>
  <c r="K14" i="31"/>
  <c r="K17" i="31"/>
  <c r="K20" i="31"/>
  <c r="K23" i="31"/>
  <c r="K26" i="31"/>
  <c r="L20" i="31" a="1"/>
  <c r="L20" i="31" s="1"/>
  <c r="L9" i="31" a="1"/>
  <c r="L9" i="31" s="1"/>
  <c r="L21" i="31" a="1"/>
  <c r="L21" i="31" s="1"/>
  <c r="K10" i="31"/>
  <c r="K19" i="31"/>
  <c r="L5" i="31" a="1"/>
  <c r="L5" i="31" s="1"/>
  <c r="L8" i="31" a="1"/>
  <c r="L8" i="31" s="1"/>
  <c r="L11" i="31" a="1"/>
  <c r="L11" i="31" s="1"/>
  <c r="L14" i="31" a="1"/>
  <c r="L14" i="31" s="1"/>
  <c r="L17" i="31" a="1"/>
  <c r="L17" i="31" s="1"/>
  <c r="L23" i="31" a="1"/>
  <c r="L23" i="31" s="1"/>
  <c r="L26" i="31" a="1"/>
  <c r="L26" i="31" s="1"/>
  <c r="L3" i="31" a="1"/>
  <c r="L3" i="31" s="1"/>
  <c r="L18" i="31" a="1"/>
  <c r="L18" i="31" s="1"/>
  <c r="K2" i="31"/>
  <c r="K13" i="31"/>
  <c r="K22" i="31"/>
  <c r="K3" i="31"/>
  <c r="K6" i="31"/>
  <c r="K9" i="31"/>
  <c r="K12" i="31"/>
  <c r="K15" i="31"/>
  <c r="K18" i="31"/>
  <c r="K21" i="31"/>
  <c r="K24" i="31"/>
  <c r="L2" i="31" a="1"/>
  <c r="L2" i="31" s="1"/>
  <c r="L12" i="31" a="1"/>
  <c r="L12" i="31" s="1"/>
  <c r="K7" i="31"/>
  <c r="K16" i="31"/>
  <c r="K25" i="31"/>
  <c r="L4" i="31" a="1"/>
  <c r="L4" i="31" s="1"/>
  <c r="L7" i="31" a="1"/>
  <c r="L7" i="31" s="1"/>
  <c r="L10" i="31" a="1"/>
  <c r="L10" i="31" s="1"/>
  <c r="L13" i="31" a="1"/>
  <c r="L13" i="31" s="1"/>
  <c r="L16" i="31" a="1"/>
  <c r="L16" i="31" s="1"/>
  <c r="L19" i="31" a="1"/>
  <c r="L19" i="31" s="1"/>
  <c r="L22" i="31" a="1"/>
  <c r="L22" i="31" s="1"/>
  <c r="L25" i="31" a="1"/>
  <c r="L25" i="31" s="1"/>
  <c r="L6" i="31" a="1"/>
  <c r="L6" i="31" s="1"/>
  <c r="L15" i="31" a="1"/>
  <c r="L15" i="31" s="1"/>
  <c r="L24" i="31" a="1"/>
  <c r="L24" i="31" s="1"/>
  <c r="K4" i="31"/>
  <c r="BG2" i="25"/>
  <c r="AR2" i="25"/>
  <c r="AS2" i="25"/>
  <c r="BH2" i="25"/>
  <c r="AE2" i="25"/>
  <c r="DD11" i="13" s="1"/>
  <c r="AC2" i="25"/>
  <c r="AD2" i="25"/>
  <c r="AQ2" i="25"/>
  <c r="BF2" i="25"/>
  <c r="K2" i="25"/>
  <c r="AB2" i="25"/>
  <c r="V2" i="25"/>
  <c r="M2" i="25"/>
  <c r="AX2" i="25"/>
  <c r="AK2" i="25"/>
  <c r="J2" i="25"/>
  <c r="AT2" i="25"/>
  <c r="DE11" i="13" s="1"/>
  <c r="H2" i="25"/>
  <c r="BD2" i="25"/>
  <c r="R2" i="25"/>
  <c r="O2" i="25"/>
  <c r="AO2" i="25"/>
  <c r="BB2" i="25"/>
  <c r="AU2" i="25"/>
  <c r="DE10" i="13" s="1"/>
  <c r="BA2" i="25"/>
  <c r="AN2" i="25"/>
  <c r="AW2" i="25"/>
  <c r="DE9" i="13" s="1"/>
  <c r="Y2" i="25"/>
  <c r="AH2" i="25"/>
  <c r="DD9" i="13" s="1"/>
  <c r="U2" i="25"/>
  <c r="X2" i="25"/>
  <c r="AA2" i="25"/>
  <c r="L2" i="25"/>
  <c r="N2" i="25"/>
  <c r="AZ2" i="25"/>
  <c r="AG2" i="25"/>
  <c r="BC2" i="25"/>
  <c r="AJ2" i="25"/>
  <c r="Q2" i="25"/>
  <c r="DC10" i="13" s="1"/>
  <c r="AM2" i="25"/>
  <c r="T2" i="25"/>
  <c r="AP2" i="25"/>
  <c r="W2" i="25"/>
  <c r="G2" i="25"/>
  <c r="I2" i="25"/>
  <c r="AV2" i="25"/>
  <c r="Z2" i="25"/>
  <c r="AY2" i="25"/>
  <c r="AF2" i="25"/>
  <c r="DD10" i="13" s="1"/>
  <c r="P2" i="25"/>
  <c r="DC11" i="13" s="1"/>
  <c r="AI2" i="25"/>
  <c r="BE2" i="25"/>
  <c r="AL2" i="25"/>
  <c r="S2" i="25"/>
  <c r="DC9" i="13" s="1"/>
  <c r="CI9" i="13"/>
  <c r="CE9" i="13"/>
  <c r="CH15" i="13"/>
  <c r="CC26" i="13"/>
  <c r="CG23" i="13"/>
  <c r="CC13" i="13"/>
  <c r="CC24" i="13"/>
  <c r="CG20" i="13"/>
  <c r="CG17" i="13"/>
  <c r="CD30" i="13"/>
  <c r="CH26" i="13"/>
  <c r="CH32" i="13"/>
  <c r="CD22" i="13"/>
  <c r="CD16" i="13"/>
  <c r="CD20" i="13"/>
  <c r="CD24" i="13"/>
  <c r="CG27" i="13"/>
  <c r="CG22" i="13"/>
  <c r="CC30" i="13"/>
  <c r="CD15" i="13"/>
  <c r="CC21" i="13"/>
  <c r="CD19" i="13"/>
  <c r="CG16" i="13"/>
  <c r="CH30" i="13"/>
  <c r="CH13" i="13"/>
  <c r="CH27" i="13"/>
  <c r="CH14" i="13"/>
  <c r="CC9" i="13"/>
  <c r="CG26" i="13"/>
  <c r="CC14" i="13"/>
  <c r="CG19" i="13"/>
  <c r="CD25" i="13"/>
  <c r="CC22" i="13"/>
  <c r="CC17" i="13"/>
  <c r="CG30" i="13"/>
  <c r="CH20" i="13"/>
  <c r="CD32" i="13"/>
  <c r="CD18" i="13"/>
  <c r="CG14" i="13"/>
  <c r="CG9" i="13"/>
  <c r="CG21" i="13"/>
  <c r="CG32" i="13"/>
  <c r="CC16" i="13"/>
  <c r="CH22" i="13"/>
  <c r="CH23" i="13"/>
  <c r="CC12" i="13"/>
  <c r="CC19" i="13"/>
  <c r="CH25" i="13"/>
  <c r="CC32" i="13"/>
  <c r="CD17" i="13"/>
  <c r="CH12" i="13"/>
  <c r="CG13" i="13"/>
  <c r="CC25" i="13"/>
  <c r="CC29" i="13"/>
  <c r="CG25" i="13"/>
  <c r="CH9" i="13"/>
  <c r="CC15" i="13"/>
  <c r="CH18" i="13"/>
  <c r="CC28" i="13"/>
  <c r="CC18" i="13"/>
  <c r="CG29" i="13"/>
  <c r="CH16" i="13"/>
  <c r="CH17" i="13"/>
  <c r="CD28" i="13"/>
  <c r="CC20" i="13"/>
  <c r="CG12" i="13"/>
  <c r="CG28" i="13"/>
  <c r="CG18" i="13"/>
  <c r="CG15" i="13"/>
  <c r="CG31" i="13"/>
  <c r="CD23" i="13"/>
  <c r="CH19" i="13"/>
  <c r="CD26" i="13"/>
  <c r="CD31" i="13"/>
  <c r="CG24" i="13"/>
  <c r="CH29" i="13"/>
  <c r="CH24" i="13"/>
  <c r="CD21" i="13"/>
  <c r="CH21" i="13"/>
  <c r="CH31" i="13"/>
  <c r="CD29" i="13"/>
  <c r="CC27" i="13"/>
  <c r="CD14" i="13"/>
  <c r="CH28" i="13"/>
  <c r="CC31" i="13"/>
  <c r="CD9" i="13"/>
  <c r="CD27" i="13"/>
  <c r="CD13" i="13"/>
  <c r="CC23" i="13"/>
  <c r="CD12" i="13"/>
  <c r="AV31" i="13" l="1"/>
  <c r="AU28" i="13"/>
  <c r="AU31" i="13"/>
  <c r="AV27" i="13"/>
  <c r="AU30" i="13"/>
  <c r="AU23" i="13"/>
  <c r="AV28" i="13"/>
  <c r="AV29" i="13"/>
  <c r="AV26" i="13"/>
  <c r="AU29" i="13"/>
  <c r="AV24" i="13"/>
  <c r="AV30" i="13"/>
  <c r="AU24" i="13"/>
  <c r="AU25" i="13"/>
  <c r="AV25" i="13"/>
  <c r="AU22" i="13"/>
  <c r="AU27" i="13"/>
  <c r="AU26" i="13"/>
  <c r="AX9" i="13"/>
  <c r="BE3" i="31"/>
  <c r="BB11" i="13"/>
  <c r="BB10" i="13"/>
  <c r="B28" i="10"/>
  <c r="E7" i="10"/>
  <c r="BB8" i="13"/>
  <c r="CR28" i="13"/>
  <c r="DM28" i="13" s="1"/>
  <c r="CV23" i="13"/>
  <c r="CV25" i="13"/>
  <c r="CV31" i="13"/>
  <c r="CZ31" i="13" s="1"/>
  <c r="AN31" i="13" s="1"/>
  <c r="BN25" i="31" s="1"/>
  <c r="CR30" i="13"/>
  <c r="DM30" i="13" s="1"/>
  <c r="CR27" i="13"/>
  <c r="DM27" i="13" s="1"/>
  <c r="CR22" i="13"/>
  <c r="DM22" i="13" s="1"/>
  <c r="CV27" i="13"/>
  <c r="CV30" i="13"/>
  <c r="CZ30" i="13" s="1"/>
  <c r="AN30" i="13" s="1"/>
  <c r="BN24" i="31" s="1"/>
  <c r="CR16" i="13"/>
  <c r="DM16" i="13" s="1"/>
  <c r="CR17" i="13"/>
  <c r="DM17" i="13" s="1"/>
  <c r="CV22" i="13"/>
  <c r="CV19" i="13"/>
  <c r="CR25" i="13"/>
  <c r="DM25" i="13" s="1"/>
  <c r="CR23" i="13"/>
  <c r="DM23" i="13" s="1"/>
  <c r="CV20" i="13"/>
  <c r="CR18" i="13"/>
  <c r="DM18" i="13" s="1"/>
  <c r="CV9" i="13"/>
  <c r="CR19" i="13"/>
  <c r="DM19" i="13" s="1"/>
  <c r="CV15" i="13"/>
  <c r="CR15" i="13"/>
  <c r="DM15" i="13" s="1"/>
  <c r="CR29" i="13"/>
  <c r="DM29" i="13" s="1"/>
  <c r="CR12" i="13"/>
  <c r="DM12" i="13" s="1"/>
  <c r="CR32" i="13"/>
  <c r="DM32" i="13" s="1"/>
  <c r="CV17" i="13"/>
  <c r="CR13" i="13"/>
  <c r="DM13" i="13" s="1"/>
  <c r="CR26" i="13"/>
  <c r="DM26" i="13" s="1"/>
  <c r="CV32" i="13"/>
  <c r="CR9" i="13"/>
  <c r="DM9" i="13" s="1"/>
  <c r="CR20" i="13"/>
  <c r="DM20" i="13" s="1"/>
  <c r="CR31" i="13"/>
  <c r="DM31" i="13" s="1"/>
  <c r="CV14" i="13"/>
  <c r="CV21" i="13"/>
  <c r="CV12" i="13"/>
  <c r="CV16" i="13"/>
  <c r="CR21" i="13"/>
  <c r="DM21" i="13" s="1"/>
  <c r="CV18" i="13"/>
  <c r="CV28" i="13"/>
  <c r="CZ28" i="13" s="1"/>
  <c r="AN28" i="13" s="1"/>
  <c r="BN22" i="31" s="1"/>
  <c r="CV13" i="13"/>
  <c r="CR24" i="13"/>
  <c r="DM24" i="13" s="1"/>
  <c r="CV26" i="13"/>
  <c r="CV24" i="13"/>
  <c r="CV29" i="13"/>
  <c r="CZ29" i="13" s="1"/>
  <c r="AN29" i="13" s="1"/>
  <c r="BN23" i="31" s="1"/>
  <c r="CR14" i="13"/>
  <c r="DM14" i="13" s="1"/>
  <c r="DV25" i="13"/>
  <c r="DV13" i="13"/>
  <c r="DV9" i="13"/>
  <c r="DV10" i="13"/>
  <c r="DV22" i="13"/>
  <c r="DV30" i="13"/>
  <c r="DV32" i="13"/>
  <c r="DV21" i="13"/>
  <c r="DV20" i="13"/>
  <c r="DV19" i="13"/>
  <c r="DV15" i="13"/>
  <c r="DV31" i="13"/>
  <c r="DV16" i="13"/>
  <c r="DV17" i="13"/>
  <c r="DV11" i="13"/>
  <c r="DV24" i="13"/>
  <c r="DL19" i="13"/>
  <c r="DV18" i="13"/>
  <c r="DV14" i="13"/>
  <c r="DV26" i="13"/>
  <c r="DL22" i="13"/>
  <c r="DV23" i="13"/>
  <c r="DL12" i="13"/>
  <c r="DV28" i="13"/>
  <c r="DV12" i="13"/>
  <c r="DL31" i="13"/>
  <c r="DV27" i="13"/>
  <c r="DV29" i="13"/>
  <c r="DL15" i="13"/>
  <c r="DL23" i="13"/>
  <c r="DL16" i="13"/>
  <c r="DL30" i="13"/>
  <c r="DL18" i="13"/>
  <c r="DL26" i="13"/>
  <c r="DL24" i="13"/>
  <c r="DL21" i="13"/>
  <c r="DL9" i="13"/>
  <c r="DL29" i="13"/>
  <c r="DL28" i="13"/>
  <c r="DL17" i="13"/>
  <c r="DL27" i="13"/>
  <c r="DL32" i="13"/>
  <c r="DL13" i="13"/>
  <c r="DL14" i="13"/>
  <c r="DL20" i="13"/>
  <c r="DL25" i="13"/>
  <c r="DW13" i="13"/>
  <c r="DW10" i="13"/>
  <c r="DW15" i="13"/>
  <c r="DW19" i="13"/>
  <c r="DW32" i="13"/>
  <c r="DW25" i="13"/>
  <c r="DW23" i="13"/>
  <c r="DW31" i="13"/>
  <c r="DW30" i="13"/>
  <c r="DW21" i="13"/>
  <c r="DW22" i="13"/>
  <c r="DW24" i="13"/>
  <c r="DW11" i="13"/>
  <c r="DW26" i="13"/>
  <c r="DW16" i="13"/>
  <c r="DW18" i="13"/>
  <c r="DW14" i="13"/>
  <c r="DW20" i="13"/>
  <c r="DW29" i="13"/>
  <c r="DW27" i="13"/>
  <c r="DW12" i="13"/>
  <c r="DW17" i="13"/>
  <c r="DW28" i="13"/>
  <c r="AV23" i="13"/>
  <c r="AV22" i="13"/>
  <c r="AS17" i="31"/>
  <c r="AS16" i="31"/>
  <c r="DD8" i="13"/>
  <c r="AU34" i="10"/>
  <c r="AV34" i="10" s="1"/>
  <c r="AW34" i="10" s="1"/>
  <c r="Z35" i="10"/>
  <c r="AA35" i="10" s="1"/>
  <c r="AB35" i="10" s="1"/>
  <c r="AR35" i="10"/>
  <c r="AS35" i="10" s="1"/>
  <c r="AT35" i="10" s="1"/>
  <c r="B18" i="10"/>
  <c r="B30" i="10"/>
  <c r="E13" i="10"/>
  <c r="F13" i="10" s="1"/>
  <c r="G13" i="10" s="1"/>
  <c r="E25" i="10"/>
  <c r="F25" i="10" s="1"/>
  <c r="G25" i="10" s="1"/>
  <c r="AR34" i="10"/>
  <c r="AS34" i="10" s="1"/>
  <c r="AT34" i="10" s="1"/>
  <c r="AC33" i="10"/>
  <c r="AD33" i="10" s="1"/>
  <c r="AE33" i="10" s="1"/>
  <c r="H34" i="10"/>
  <c r="I34" i="10" s="1"/>
  <c r="J34" i="10" s="1"/>
  <c r="Z34" i="10"/>
  <c r="AA34" i="10" s="1"/>
  <c r="AB34" i="10" s="1"/>
  <c r="AU35" i="10"/>
  <c r="AV35" i="10" s="1"/>
  <c r="AW35" i="10" s="1"/>
  <c r="B19" i="10"/>
  <c r="B31" i="10"/>
  <c r="E14" i="10"/>
  <c r="F14" i="10" s="1"/>
  <c r="G14" i="10" s="1"/>
  <c r="E26" i="10"/>
  <c r="F26" i="10" s="1"/>
  <c r="G26" i="10" s="1"/>
  <c r="K34" i="10"/>
  <c r="L34" i="10" s="1"/>
  <c r="M34" i="10" s="1"/>
  <c r="H33" i="10"/>
  <c r="I33" i="10" s="1"/>
  <c r="J33" i="10" s="1"/>
  <c r="AC34" i="10"/>
  <c r="AD34" i="10" s="1"/>
  <c r="AE34" i="10" s="1"/>
  <c r="AC35" i="10"/>
  <c r="AD35" i="10" s="1"/>
  <c r="AE35" i="10" s="1"/>
  <c r="B8" i="10"/>
  <c r="B20" i="10"/>
  <c r="B32" i="10"/>
  <c r="E15" i="10"/>
  <c r="F15" i="10" s="1"/>
  <c r="G15" i="10" s="1"/>
  <c r="E27" i="10"/>
  <c r="F27" i="10" s="1"/>
  <c r="G27" i="10" s="1"/>
  <c r="K33" i="10"/>
  <c r="L33" i="10" s="1"/>
  <c r="M33" i="10" s="1"/>
  <c r="AF34" i="10"/>
  <c r="AG34" i="10" s="1"/>
  <c r="AH34" i="10" s="1"/>
  <c r="H35" i="10"/>
  <c r="I35" i="10" s="1"/>
  <c r="J35" i="10" s="1"/>
  <c r="B9" i="10"/>
  <c r="B21" i="10"/>
  <c r="C21" i="10" s="1"/>
  <c r="D21" i="10" s="1"/>
  <c r="B33" i="10"/>
  <c r="C33" i="10" s="1"/>
  <c r="D33" i="10" s="1"/>
  <c r="E16" i="10"/>
  <c r="F16" i="10" s="1"/>
  <c r="G16" i="10" s="1"/>
  <c r="E28" i="10"/>
  <c r="F28" i="10" s="1"/>
  <c r="G28" i="10" s="1"/>
  <c r="N33" i="10"/>
  <c r="O33" i="10" s="1"/>
  <c r="P33" i="10" s="1"/>
  <c r="AF33" i="10"/>
  <c r="AG33" i="10" s="1"/>
  <c r="AH33" i="10" s="1"/>
  <c r="K35" i="10"/>
  <c r="L35" i="10" s="1"/>
  <c r="M35" i="10" s="1"/>
  <c r="B10" i="10"/>
  <c r="B22" i="10"/>
  <c r="C22" i="10" s="1"/>
  <c r="D22" i="10" s="1"/>
  <c r="B34" i="10"/>
  <c r="C34" i="10" s="1"/>
  <c r="D34" i="10" s="1"/>
  <c r="E17" i="10"/>
  <c r="F17" i="10" s="1"/>
  <c r="G17" i="10" s="1"/>
  <c r="E29" i="10"/>
  <c r="F29" i="10" s="1"/>
  <c r="G29" i="10" s="1"/>
  <c r="B16" i="10"/>
  <c r="AI33" i="10"/>
  <c r="AJ33" i="10" s="1"/>
  <c r="AK33" i="10" s="1"/>
  <c r="AI34" i="10"/>
  <c r="AJ34" i="10" s="1"/>
  <c r="AK34" i="10" s="1"/>
  <c r="N35" i="10"/>
  <c r="O35" i="10" s="1"/>
  <c r="P35" i="10" s="1"/>
  <c r="AF35" i="10"/>
  <c r="AG35" i="10" s="1"/>
  <c r="AH35" i="10" s="1"/>
  <c r="B11" i="10"/>
  <c r="B23" i="10"/>
  <c r="C23" i="10" s="1"/>
  <c r="D23" i="10" s="1"/>
  <c r="B35" i="10"/>
  <c r="C35" i="10" s="1"/>
  <c r="D35" i="10" s="1"/>
  <c r="E18" i="10"/>
  <c r="F18" i="10" s="1"/>
  <c r="G18" i="10" s="1"/>
  <c r="E30" i="10"/>
  <c r="F30" i="10" s="1"/>
  <c r="G30" i="10" s="1"/>
  <c r="T35" i="10"/>
  <c r="U35" i="10" s="1"/>
  <c r="V35" i="10" s="1"/>
  <c r="E11" i="10"/>
  <c r="F11" i="10" s="1"/>
  <c r="G11" i="10" s="1"/>
  <c r="Q33" i="10"/>
  <c r="R33" i="10" s="1"/>
  <c r="S33" i="10" s="1"/>
  <c r="AL33" i="10"/>
  <c r="AM33" i="10" s="1"/>
  <c r="AN33" i="10" s="1"/>
  <c r="N34" i="10"/>
  <c r="O34" i="10" s="1"/>
  <c r="P34" i="10" s="1"/>
  <c r="AI35" i="10"/>
  <c r="AJ35" i="10" s="1"/>
  <c r="AK35" i="10" s="1"/>
  <c r="B12" i="10"/>
  <c r="B24" i="10"/>
  <c r="C24" i="10" s="1"/>
  <c r="D24" i="10" s="1"/>
  <c r="B7" i="10"/>
  <c r="E19" i="10"/>
  <c r="F19" i="10" s="1"/>
  <c r="G19" i="10" s="1"/>
  <c r="E31" i="10"/>
  <c r="F31" i="10" s="1"/>
  <c r="G31" i="10" s="1"/>
  <c r="Q34" i="10"/>
  <c r="R34" i="10" s="1"/>
  <c r="S34" i="10" s="1"/>
  <c r="Q35" i="10"/>
  <c r="R35" i="10" s="1"/>
  <c r="S35" i="10" s="1"/>
  <c r="AL35" i="10"/>
  <c r="AM35" i="10" s="1"/>
  <c r="AN35" i="10" s="1"/>
  <c r="B13" i="10"/>
  <c r="B25" i="10"/>
  <c r="C25" i="10" s="1"/>
  <c r="D25" i="10" s="1"/>
  <c r="E8" i="10"/>
  <c r="E20" i="10"/>
  <c r="F20" i="10" s="1"/>
  <c r="G20" i="10" s="1"/>
  <c r="E32" i="10"/>
  <c r="F32" i="10" s="1"/>
  <c r="G32" i="10" s="1"/>
  <c r="E35" i="10"/>
  <c r="F35" i="10" s="1"/>
  <c r="G35" i="10" s="1"/>
  <c r="AO33" i="10"/>
  <c r="AP33" i="10" s="1"/>
  <c r="AQ33" i="10" s="1"/>
  <c r="T34" i="10"/>
  <c r="U34" i="10" s="1"/>
  <c r="V34" i="10" s="1"/>
  <c r="AL34" i="10"/>
  <c r="AM34" i="10" s="1"/>
  <c r="AN34" i="10" s="1"/>
  <c r="B14" i="10"/>
  <c r="B26" i="10"/>
  <c r="C26" i="10" s="1"/>
  <c r="D26" i="10" s="1"/>
  <c r="E9" i="10"/>
  <c r="F9" i="10" s="1"/>
  <c r="G9" i="10" s="1"/>
  <c r="E21" i="10"/>
  <c r="F21" i="10" s="1"/>
  <c r="G21" i="10" s="1"/>
  <c r="E33" i="10"/>
  <c r="F33" i="10" s="1"/>
  <c r="G33" i="10" s="1"/>
  <c r="T33" i="10"/>
  <c r="U33" i="10" s="1"/>
  <c r="V33" i="10" s="1"/>
  <c r="AO34" i="10"/>
  <c r="AP34" i="10" s="1"/>
  <c r="AQ34" i="10" s="1"/>
  <c r="AO35" i="10"/>
  <c r="AP35" i="10" s="1"/>
  <c r="AQ35" i="10" s="1"/>
  <c r="B15" i="10"/>
  <c r="B27" i="10"/>
  <c r="C27" i="10" s="1"/>
  <c r="D27" i="10" s="1"/>
  <c r="E10" i="10"/>
  <c r="F10" i="10" s="1"/>
  <c r="G10" i="10" s="1"/>
  <c r="E22" i="10"/>
  <c r="F22" i="10" s="1"/>
  <c r="G22" i="10" s="1"/>
  <c r="E34" i="10"/>
  <c r="F34" i="10" s="1"/>
  <c r="G34" i="10" s="1"/>
  <c r="W34" i="10"/>
  <c r="X34" i="10" s="1"/>
  <c r="Y34" i="10" s="1"/>
  <c r="E23" i="10"/>
  <c r="F23" i="10" s="1"/>
  <c r="G23" i="10" s="1"/>
  <c r="W33" i="10"/>
  <c r="X33" i="10" s="1"/>
  <c r="Y33" i="10" s="1"/>
  <c r="Z33" i="10"/>
  <c r="AA33" i="10" s="1"/>
  <c r="AB33" i="10" s="1"/>
  <c r="AR33" i="10"/>
  <c r="AS33" i="10" s="1"/>
  <c r="AT33" i="10" s="1"/>
  <c r="W35" i="10"/>
  <c r="X35" i="10" s="1"/>
  <c r="Y35" i="10" s="1"/>
  <c r="B17" i="10"/>
  <c r="B29" i="10"/>
  <c r="E12" i="10"/>
  <c r="F12" i="10" s="1"/>
  <c r="G12" i="10" s="1"/>
  <c r="E24" i="10"/>
  <c r="F24" i="10" s="1"/>
  <c r="G24" i="10" s="1"/>
  <c r="AU33" i="10"/>
  <c r="AV33" i="10" s="1"/>
  <c r="AW33" i="10" s="1"/>
  <c r="DE8" i="13"/>
  <c r="DC8" i="13"/>
  <c r="AY25" i="31"/>
  <c r="AY16" i="31"/>
  <c r="AY17" i="31"/>
  <c r="AY26" i="31"/>
  <c r="AY19" i="31"/>
  <c r="AY20" i="31"/>
  <c r="AP20" i="31"/>
  <c r="AY22" i="31"/>
  <c r="AP16" i="31"/>
  <c r="AY21" i="31"/>
  <c r="AY24" i="31"/>
  <c r="AP24" i="31"/>
  <c r="AP21" i="31"/>
  <c r="AP22" i="31"/>
  <c r="AP19" i="31"/>
  <c r="AP18" i="31"/>
  <c r="AY23" i="31"/>
  <c r="AP23" i="31"/>
  <c r="AP26" i="31"/>
  <c r="AP25" i="31"/>
  <c r="AY18" i="31"/>
  <c r="AP17" i="31"/>
  <c r="N21" i="10"/>
  <c r="O21" i="10" s="1"/>
  <c r="P21" i="10" s="1"/>
  <c r="T21" i="10"/>
  <c r="U21" i="10" s="1"/>
  <c r="V21" i="10" s="1"/>
  <c r="AI21" i="10"/>
  <c r="AJ21" i="10" s="1"/>
  <c r="AK21" i="10" s="1"/>
  <c r="AU21" i="10"/>
  <c r="AV21" i="10" s="1"/>
  <c r="AW21" i="10" s="1"/>
  <c r="N22" i="10"/>
  <c r="O22" i="10" s="1"/>
  <c r="P22" i="10" s="1"/>
  <c r="T22" i="10"/>
  <c r="U22" i="10" s="1"/>
  <c r="V22" i="10" s="1"/>
  <c r="AI22" i="10"/>
  <c r="AJ22" i="10" s="1"/>
  <c r="AK22" i="10" s="1"/>
  <c r="AU22" i="10"/>
  <c r="AV22" i="10" s="1"/>
  <c r="AW22" i="10" s="1"/>
  <c r="N23" i="10"/>
  <c r="O23" i="10" s="1"/>
  <c r="P23" i="10" s="1"/>
  <c r="T23" i="10"/>
  <c r="U23" i="10" s="1"/>
  <c r="V23" i="10" s="1"/>
  <c r="AI23" i="10"/>
  <c r="AJ23" i="10" s="1"/>
  <c r="AK23" i="10" s="1"/>
  <c r="AU23" i="10"/>
  <c r="AV23" i="10" s="1"/>
  <c r="AW23" i="10" s="1"/>
  <c r="N24" i="10"/>
  <c r="O24" i="10" s="1"/>
  <c r="P24" i="10" s="1"/>
  <c r="T24" i="10"/>
  <c r="U24" i="10" s="1"/>
  <c r="V24" i="10" s="1"/>
  <c r="AI24" i="10"/>
  <c r="AJ24" i="10" s="1"/>
  <c r="AK24" i="10" s="1"/>
  <c r="AU24" i="10"/>
  <c r="AV24" i="10" s="1"/>
  <c r="AW24" i="10" s="1"/>
  <c r="N25" i="10"/>
  <c r="O25" i="10" s="1"/>
  <c r="P25" i="10" s="1"/>
  <c r="T25" i="10"/>
  <c r="U25" i="10" s="1"/>
  <c r="V25" i="10" s="1"/>
  <c r="AI25" i="10"/>
  <c r="AJ25" i="10" s="1"/>
  <c r="AK25" i="10" s="1"/>
  <c r="AU25" i="10"/>
  <c r="AV25" i="10" s="1"/>
  <c r="AW25" i="10" s="1"/>
  <c r="N26" i="10"/>
  <c r="O26" i="10" s="1"/>
  <c r="P26" i="10" s="1"/>
  <c r="T26" i="10"/>
  <c r="U26" i="10" s="1"/>
  <c r="V26" i="10" s="1"/>
  <c r="AI26" i="10"/>
  <c r="AJ26" i="10" s="1"/>
  <c r="AK26" i="10" s="1"/>
  <c r="AU26" i="10"/>
  <c r="AV26" i="10" s="1"/>
  <c r="AW26" i="10" s="1"/>
  <c r="N27" i="10"/>
  <c r="O27" i="10" s="1"/>
  <c r="P27" i="10" s="1"/>
  <c r="T27" i="10"/>
  <c r="U27" i="10" s="1"/>
  <c r="V27" i="10" s="1"/>
  <c r="AI27" i="10"/>
  <c r="AJ27" i="10" s="1"/>
  <c r="AK27" i="10" s="1"/>
  <c r="AU27" i="10"/>
  <c r="AV27" i="10" s="1"/>
  <c r="AW27" i="10" s="1"/>
  <c r="H18" i="10"/>
  <c r="AU29" i="10"/>
  <c r="AV29" i="10" s="1"/>
  <c r="AW29" i="10" s="1"/>
  <c r="AU18" i="10"/>
  <c r="AV18" i="10" s="1"/>
  <c r="AW18" i="10" s="1"/>
  <c r="AU14" i="10"/>
  <c r="AV14" i="10" s="1"/>
  <c r="AW14" i="10" s="1"/>
  <c r="AU10" i="10"/>
  <c r="AV10" i="10" s="1"/>
  <c r="AW10" i="10" s="1"/>
  <c r="AR31" i="10"/>
  <c r="AS31" i="10" s="1"/>
  <c r="AT31" i="10" s="1"/>
  <c r="AR20" i="10"/>
  <c r="AS20" i="10" s="1"/>
  <c r="AT20" i="10" s="1"/>
  <c r="AR16" i="10"/>
  <c r="AS16" i="10" s="1"/>
  <c r="AT16" i="10" s="1"/>
  <c r="AR12" i="10"/>
  <c r="AS12" i="10" s="1"/>
  <c r="AT12" i="10" s="1"/>
  <c r="AR8" i="10"/>
  <c r="AS8" i="10" s="1"/>
  <c r="AT8" i="10" s="1"/>
  <c r="AO29" i="10"/>
  <c r="AP29" i="10" s="1"/>
  <c r="AQ29" i="10" s="1"/>
  <c r="AO18" i="10"/>
  <c r="AP18" i="10" s="1"/>
  <c r="AQ18" i="10" s="1"/>
  <c r="AO14" i="10"/>
  <c r="AP14" i="10" s="1"/>
  <c r="AQ14" i="10" s="1"/>
  <c r="AO10" i="10"/>
  <c r="AP10" i="10" s="1"/>
  <c r="AQ10" i="10" s="1"/>
  <c r="AL31" i="10"/>
  <c r="AM31" i="10" s="1"/>
  <c r="AN31" i="10" s="1"/>
  <c r="AL20" i="10"/>
  <c r="AM20" i="10" s="1"/>
  <c r="AN20" i="10" s="1"/>
  <c r="AL16" i="10"/>
  <c r="AM16" i="10" s="1"/>
  <c r="AN16" i="10" s="1"/>
  <c r="AL12" i="10"/>
  <c r="AM12" i="10" s="1"/>
  <c r="AN12" i="10" s="1"/>
  <c r="AL8" i="10"/>
  <c r="AM8" i="10" s="1"/>
  <c r="AN8" i="10" s="1"/>
  <c r="AI29" i="10"/>
  <c r="AJ29" i="10" s="1"/>
  <c r="AK29" i="10" s="1"/>
  <c r="AI18" i="10"/>
  <c r="AJ18" i="10" s="1"/>
  <c r="AK18" i="10" s="1"/>
  <c r="AI14" i="10"/>
  <c r="AJ14" i="10" s="1"/>
  <c r="AK14" i="10" s="1"/>
  <c r="AI10" i="10"/>
  <c r="AJ10" i="10" s="1"/>
  <c r="AK10" i="10" s="1"/>
  <c r="AF31" i="10"/>
  <c r="AG31" i="10" s="1"/>
  <c r="AH31" i="10" s="1"/>
  <c r="AF20" i="10"/>
  <c r="AG20" i="10" s="1"/>
  <c r="AH20" i="10" s="1"/>
  <c r="AF16" i="10"/>
  <c r="AG16" i="10" s="1"/>
  <c r="AH16" i="10" s="1"/>
  <c r="AF12" i="10"/>
  <c r="AG12" i="10" s="1"/>
  <c r="AH12" i="10" s="1"/>
  <c r="AF8" i="10"/>
  <c r="AG8" i="10" s="1"/>
  <c r="AH8" i="10" s="1"/>
  <c r="AC29" i="10"/>
  <c r="AD29" i="10" s="1"/>
  <c r="AE29" i="10" s="1"/>
  <c r="AC18" i="10"/>
  <c r="AD18" i="10" s="1"/>
  <c r="AE18" i="10" s="1"/>
  <c r="AC14" i="10"/>
  <c r="AD14" i="10" s="1"/>
  <c r="AE14" i="10" s="1"/>
  <c r="AC10" i="10"/>
  <c r="AD10" i="10" s="1"/>
  <c r="AE10" i="10" s="1"/>
  <c r="Z31" i="10"/>
  <c r="AA31" i="10" s="1"/>
  <c r="AB31" i="10" s="1"/>
  <c r="Z20" i="10"/>
  <c r="AA20" i="10" s="1"/>
  <c r="AB20" i="10" s="1"/>
  <c r="Z16" i="10"/>
  <c r="AA16" i="10" s="1"/>
  <c r="AB16" i="10" s="1"/>
  <c r="Z12" i="10"/>
  <c r="AA12" i="10" s="1"/>
  <c r="AB12" i="10" s="1"/>
  <c r="Z8" i="10"/>
  <c r="AA8" i="10" s="1"/>
  <c r="AB8" i="10" s="1"/>
  <c r="W30" i="10"/>
  <c r="X30" i="10" s="1"/>
  <c r="Y30" i="10" s="1"/>
  <c r="W19" i="10"/>
  <c r="X19" i="10" s="1"/>
  <c r="Y19" i="10" s="1"/>
  <c r="W15" i="10"/>
  <c r="X15" i="10" s="1"/>
  <c r="Y15" i="10" s="1"/>
  <c r="W11" i="10"/>
  <c r="X11" i="10" s="1"/>
  <c r="Y11" i="10" s="1"/>
  <c r="W7" i="10"/>
  <c r="X7" i="10" s="1"/>
  <c r="Y7" i="10" s="1"/>
  <c r="T32" i="10"/>
  <c r="U32" i="10" s="1"/>
  <c r="V32" i="10" s="1"/>
  <c r="T28" i="10"/>
  <c r="U28" i="10" s="1"/>
  <c r="V28" i="10" s="1"/>
  <c r="T17" i="10"/>
  <c r="U17" i="10" s="1"/>
  <c r="V17" i="10" s="1"/>
  <c r="T13" i="10"/>
  <c r="U13" i="10" s="1"/>
  <c r="V13" i="10" s="1"/>
  <c r="T9" i="10"/>
  <c r="U9" i="10" s="1"/>
  <c r="V9" i="10" s="1"/>
  <c r="Q30" i="10"/>
  <c r="R30" i="10" s="1"/>
  <c r="S30" i="10" s="1"/>
  <c r="Q19" i="10"/>
  <c r="R19" i="10" s="1"/>
  <c r="S19" i="10" s="1"/>
  <c r="Q15" i="10"/>
  <c r="R15" i="10" s="1"/>
  <c r="S15" i="10" s="1"/>
  <c r="Q11" i="10"/>
  <c r="R11" i="10" s="1"/>
  <c r="S11" i="10" s="1"/>
  <c r="Q7" i="10"/>
  <c r="R7" i="10" s="1"/>
  <c r="S7" i="10" s="1"/>
  <c r="N32" i="10"/>
  <c r="O32" i="10" s="1"/>
  <c r="P32" i="10" s="1"/>
  <c r="N28" i="10"/>
  <c r="O28" i="10" s="1"/>
  <c r="P28" i="10" s="1"/>
  <c r="N17" i="10"/>
  <c r="O17" i="10" s="1"/>
  <c r="P17" i="10" s="1"/>
  <c r="N13" i="10"/>
  <c r="O13" i="10" s="1"/>
  <c r="P13" i="10" s="1"/>
  <c r="N9" i="10"/>
  <c r="O9" i="10" s="1"/>
  <c r="P9" i="10" s="1"/>
  <c r="K30" i="10"/>
  <c r="K18" i="10"/>
  <c r="K14" i="10"/>
  <c r="K10" i="10"/>
  <c r="H31" i="10"/>
  <c r="H16" i="10"/>
  <c r="H12" i="10"/>
  <c r="H8" i="10"/>
  <c r="AF21" i="10"/>
  <c r="AG21" i="10" s="1"/>
  <c r="AH21" i="10" s="1"/>
  <c r="AF22" i="10"/>
  <c r="AG22" i="10" s="1"/>
  <c r="AH22" i="10" s="1"/>
  <c r="W23" i="10"/>
  <c r="X23" i="10" s="1"/>
  <c r="Y23" i="10" s="1"/>
  <c r="AO23" i="10"/>
  <c r="AP23" i="10" s="1"/>
  <c r="AQ23" i="10" s="1"/>
  <c r="K24" i="10"/>
  <c r="L24" i="10" s="1"/>
  <c r="M24" i="10" s="1"/>
  <c r="AF24" i="10"/>
  <c r="AG24" i="10" s="1"/>
  <c r="AH24" i="10" s="1"/>
  <c r="AO24" i="10"/>
  <c r="AP24" i="10" s="1"/>
  <c r="AQ24" i="10" s="1"/>
  <c r="K25" i="10"/>
  <c r="L25" i="10" s="1"/>
  <c r="M25" i="10" s="1"/>
  <c r="AF25" i="10"/>
  <c r="AG25" i="10" s="1"/>
  <c r="AH25" i="10" s="1"/>
  <c r="AO25" i="10"/>
  <c r="AP25" i="10" s="1"/>
  <c r="AQ25" i="10" s="1"/>
  <c r="K26" i="10"/>
  <c r="L26" i="10" s="1"/>
  <c r="M26" i="10" s="1"/>
  <c r="H21" i="10"/>
  <c r="I21" i="10" s="1"/>
  <c r="J21" i="10" s="1"/>
  <c r="AC21" i="10"/>
  <c r="AD21" i="10" s="1"/>
  <c r="AE21" i="10" s="1"/>
  <c r="AL21" i="10"/>
  <c r="AM21" i="10" s="1"/>
  <c r="AN21" i="10" s="1"/>
  <c r="H22" i="10"/>
  <c r="I22" i="10" s="1"/>
  <c r="J22" i="10" s="1"/>
  <c r="AC22" i="10"/>
  <c r="AD22" i="10" s="1"/>
  <c r="AE22" i="10" s="1"/>
  <c r="AL22" i="10"/>
  <c r="AM22" i="10" s="1"/>
  <c r="AN22" i="10" s="1"/>
  <c r="H23" i="10"/>
  <c r="I23" i="10" s="1"/>
  <c r="J23" i="10" s="1"/>
  <c r="AC23" i="10"/>
  <c r="AD23" i="10" s="1"/>
  <c r="AE23" i="10" s="1"/>
  <c r="AL23" i="10"/>
  <c r="AM23" i="10" s="1"/>
  <c r="AN23" i="10" s="1"/>
  <c r="H24" i="10"/>
  <c r="I24" i="10" s="1"/>
  <c r="J24" i="10" s="1"/>
  <c r="AC24" i="10"/>
  <c r="AD24" i="10" s="1"/>
  <c r="AE24" i="10" s="1"/>
  <c r="AL24" i="10"/>
  <c r="AM24" i="10" s="1"/>
  <c r="AN24" i="10" s="1"/>
  <c r="H25" i="10"/>
  <c r="I25" i="10" s="1"/>
  <c r="J25" i="10" s="1"/>
  <c r="AC25" i="10"/>
  <c r="AD25" i="10" s="1"/>
  <c r="AE25" i="10" s="1"/>
  <c r="AL25" i="10"/>
  <c r="AM25" i="10" s="1"/>
  <c r="AN25" i="10" s="1"/>
  <c r="H26" i="10"/>
  <c r="I26" i="10" s="1"/>
  <c r="J26" i="10" s="1"/>
  <c r="AC26" i="10"/>
  <c r="AD26" i="10" s="1"/>
  <c r="AE26" i="10" s="1"/>
  <c r="AL26" i="10"/>
  <c r="AM26" i="10" s="1"/>
  <c r="AN26" i="10" s="1"/>
  <c r="H27" i="10"/>
  <c r="I27" i="10" s="1"/>
  <c r="J27" i="10" s="1"/>
  <c r="AC27" i="10"/>
  <c r="AD27" i="10" s="1"/>
  <c r="AE27" i="10" s="1"/>
  <c r="AL27" i="10"/>
  <c r="AM27" i="10" s="1"/>
  <c r="AN27" i="10" s="1"/>
  <c r="H19" i="10"/>
  <c r="AU32" i="10"/>
  <c r="AV32" i="10" s="1"/>
  <c r="AW32" i="10" s="1"/>
  <c r="AU28" i="10"/>
  <c r="AV28" i="10" s="1"/>
  <c r="AW28" i="10" s="1"/>
  <c r="AU17" i="10"/>
  <c r="AV17" i="10" s="1"/>
  <c r="AW17" i="10" s="1"/>
  <c r="AU13" i="10"/>
  <c r="AV13" i="10" s="1"/>
  <c r="AW13" i="10" s="1"/>
  <c r="AU9" i="10"/>
  <c r="AV9" i="10" s="1"/>
  <c r="AW9" i="10" s="1"/>
  <c r="AR30" i="10"/>
  <c r="AS30" i="10" s="1"/>
  <c r="AT30" i="10" s="1"/>
  <c r="AR19" i="10"/>
  <c r="AS19" i="10" s="1"/>
  <c r="AT19" i="10" s="1"/>
  <c r="AR15" i="10"/>
  <c r="AS15" i="10" s="1"/>
  <c r="AT15" i="10" s="1"/>
  <c r="AR11" i="10"/>
  <c r="AS11" i="10" s="1"/>
  <c r="AT11" i="10" s="1"/>
  <c r="AR7" i="10"/>
  <c r="AS7" i="10" s="1"/>
  <c r="AT7" i="10" s="1"/>
  <c r="AO32" i="10"/>
  <c r="AP32" i="10" s="1"/>
  <c r="AQ32" i="10" s="1"/>
  <c r="AO28" i="10"/>
  <c r="AP28" i="10" s="1"/>
  <c r="AQ28" i="10" s="1"/>
  <c r="AO17" i="10"/>
  <c r="AP17" i="10" s="1"/>
  <c r="AQ17" i="10" s="1"/>
  <c r="AO13" i="10"/>
  <c r="AP13" i="10" s="1"/>
  <c r="AQ13" i="10" s="1"/>
  <c r="AO9" i="10"/>
  <c r="AP9" i="10" s="1"/>
  <c r="AQ9" i="10" s="1"/>
  <c r="AL30" i="10"/>
  <c r="AM30" i="10" s="1"/>
  <c r="AN30" i="10" s="1"/>
  <c r="AL19" i="10"/>
  <c r="AM19" i="10" s="1"/>
  <c r="AN19" i="10" s="1"/>
  <c r="AL15" i="10"/>
  <c r="AM15" i="10" s="1"/>
  <c r="AN15" i="10" s="1"/>
  <c r="AL11" i="10"/>
  <c r="AM11" i="10" s="1"/>
  <c r="AN11" i="10" s="1"/>
  <c r="AL7" i="10"/>
  <c r="AM7" i="10" s="1"/>
  <c r="AN7" i="10" s="1"/>
  <c r="AI32" i="10"/>
  <c r="AJ32" i="10" s="1"/>
  <c r="AK32" i="10" s="1"/>
  <c r="AI28" i="10"/>
  <c r="AJ28" i="10" s="1"/>
  <c r="AK28" i="10" s="1"/>
  <c r="AI17" i="10"/>
  <c r="AJ17" i="10" s="1"/>
  <c r="AK17" i="10" s="1"/>
  <c r="AI13" i="10"/>
  <c r="AJ13" i="10" s="1"/>
  <c r="AK13" i="10" s="1"/>
  <c r="AI9" i="10"/>
  <c r="AJ9" i="10" s="1"/>
  <c r="AK9" i="10" s="1"/>
  <c r="AF30" i="10"/>
  <c r="AG30" i="10" s="1"/>
  <c r="AH30" i="10" s="1"/>
  <c r="AF19" i="10"/>
  <c r="AG19" i="10" s="1"/>
  <c r="AH19" i="10" s="1"/>
  <c r="AF15" i="10"/>
  <c r="AG15" i="10" s="1"/>
  <c r="AH15" i="10" s="1"/>
  <c r="AF11" i="10"/>
  <c r="AG11" i="10" s="1"/>
  <c r="AH11" i="10" s="1"/>
  <c r="AF7" i="10"/>
  <c r="AG7" i="10" s="1"/>
  <c r="AH7" i="10" s="1"/>
  <c r="AC32" i="10"/>
  <c r="AD32" i="10" s="1"/>
  <c r="AE32" i="10" s="1"/>
  <c r="AC28" i="10"/>
  <c r="AD28" i="10" s="1"/>
  <c r="AE28" i="10" s="1"/>
  <c r="AC17" i="10"/>
  <c r="AD17" i="10" s="1"/>
  <c r="AE17" i="10" s="1"/>
  <c r="AC13" i="10"/>
  <c r="AD13" i="10" s="1"/>
  <c r="AE13" i="10" s="1"/>
  <c r="AC9" i="10"/>
  <c r="AD9" i="10" s="1"/>
  <c r="AE9" i="10" s="1"/>
  <c r="Z30" i="10"/>
  <c r="AA30" i="10" s="1"/>
  <c r="AB30" i="10" s="1"/>
  <c r="Z19" i="10"/>
  <c r="AA19" i="10" s="1"/>
  <c r="AB19" i="10" s="1"/>
  <c r="Z15" i="10"/>
  <c r="AA15" i="10" s="1"/>
  <c r="AB15" i="10" s="1"/>
  <c r="Z11" i="10"/>
  <c r="AA11" i="10" s="1"/>
  <c r="AB11" i="10" s="1"/>
  <c r="Z7" i="10"/>
  <c r="AA7" i="10" s="1"/>
  <c r="AB7" i="10" s="1"/>
  <c r="W29" i="10"/>
  <c r="X29" i="10" s="1"/>
  <c r="Y29" i="10" s="1"/>
  <c r="W18" i="10"/>
  <c r="X18" i="10" s="1"/>
  <c r="Y18" i="10" s="1"/>
  <c r="W14" i="10"/>
  <c r="X14" i="10" s="1"/>
  <c r="Y14" i="10" s="1"/>
  <c r="W10" i="10"/>
  <c r="X10" i="10" s="1"/>
  <c r="Y10" i="10" s="1"/>
  <c r="T31" i="10"/>
  <c r="U31" i="10" s="1"/>
  <c r="V31" i="10" s="1"/>
  <c r="T20" i="10"/>
  <c r="U20" i="10" s="1"/>
  <c r="V20" i="10" s="1"/>
  <c r="T16" i="10"/>
  <c r="U16" i="10" s="1"/>
  <c r="V16" i="10" s="1"/>
  <c r="T12" i="10"/>
  <c r="U12" i="10" s="1"/>
  <c r="V12" i="10" s="1"/>
  <c r="T8" i="10"/>
  <c r="U8" i="10" s="1"/>
  <c r="V8" i="10" s="1"/>
  <c r="Q29" i="10"/>
  <c r="R29" i="10" s="1"/>
  <c r="S29" i="10" s="1"/>
  <c r="Q18" i="10"/>
  <c r="R18" i="10" s="1"/>
  <c r="S18" i="10" s="1"/>
  <c r="Q14" i="10"/>
  <c r="R14" i="10" s="1"/>
  <c r="S14" i="10" s="1"/>
  <c r="Q10" i="10"/>
  <c r="R10" i="10" s="1"/>
  <c r="S10" i="10" s="1"/>
  <c r="N31" i="10"/>
  <c r="O31" i="10" s="1"/>
  <c r="P31" i="10" s="1"/>
  <c r="N20" i="10"/>
  <c r="O20" i="10" s="1"/>
  <c r="P20" i="10" s="1"/>
  <c r="N16" i="10"/>
  <c r="O16" i="10" s="1"/>
  <c r="P16" i="10" s="1"/>
  <c r="N12" i="10"/>
  <c r="O12" i="10" s="1"/>
  <c r="P12" i="10" s="1"/>
  <c r="N8" i="10"/>
  <c r="O8" i="10" s="1"/>
  <c r="P8" i="10" s="1"/>
  <c r="K29" i="10"/>
  <c r="K17" i="10"/>
  <c r="K13" i="10"/>
  <c r="K9" i="10"/>
  <c r="H30" i="10"/>
  <c r="H15" i="10"/>
  <c r="H11" i="10"/>
  <c r="H7" i="10"/>
  <c r="K21" i="10"/>
  <c r="L21" i="10" s="1"/>
  <c r="M21" i="10" s="1"/>
  <c r="W21" i="10"/>
  <c r="X21" i="10" s="1"/>
  <c r="Y21" i="10" s="1"/>
  <c r="AO21" i="10"/>
  <c r="AP21" i="10" s="1"/>
  <c r="AQ21" i="10" s="1"/>
  <c r="K22" i="10"/>
  <c r="L22" i="10" s="1"/>
  <c r="M22" i="10" s="1"/>
  <c r="W22" i="10"/>
  <c r="X22" i="10" s="1"/>
  <c r="Y22" i="10" s="1"/>
  <c r="AO22" i="10"/>
  <c r="AP22" i="10" s="1"/>
  <c r="AQ22" i="10" s="1"/>
  <c r="K23" i="10"/>
  <c r="L23" i="10" s="1"/>
  <c r="M23" i="10" s="1"/>
  <c r="AF23" i="10"/>
  <c r="AG23" i="10" s="1"/>
  <c r="AH23" i="10" s="1"/>
  <c r="W24" i="10"/>
  <c r="X24" i="10" s="1"/>
  <c r="Y24" i="10" s="1"/>
  <c r="W25" i="10"/>
  <c r="X25" i="10" s="1"/>
  <c r="Y25" i="10" s="1"/>
  <c r="AR21" i="10"/>
  <c r="AS21" i="10" s="1"/>
  <c r="AT21" i="10" s="1"/>
  <c r="Z22" i="10"/>
  <c r="AA22" i="10" s="1"/>
  <c r="AB22" i="10" s="1"/>
  <c r="AR23" i="10"/>
  <c r="AS23" i="10" s="1"/>
  <c r="AT23" i="10" s="1"/>
  <c r="Z24" i="10"/>
  <c r="AA24" i="10" s="1"/>
  <c r="AB24" i="10" s="1"/>
  <c r="AR25" i="10"/>
  <c r="AS25" i="10" s="1"/>
  <c r="AT25" i="10" s="1"/>
  <c r="Q26" i="10"/>
  <c r="R26" i="10" s="1"/>
  <c r="S26" i="10" s="1"/>
  <c r="Q27" i="10"/>
  <c r="R27" i="10" s="1"/>
  <c r="S27" i="10" s="1"/>
  <c r="K20" i="10"/>
  <c r="AU30" i="10"/>
  <c r="AV30" i="10" s="1"/>
  <c r="AW30" i="10" s="1"/>
  <c r="AU15" i="10"/>
  <c r="AV15" i="10" s="1"/>
  <c r="AW15" i="10" s="1"/>
  <c r="AU7" i="10"/>
  <c r="AV7" i="10" s="1"/>
  <c r="AW7" i="10" s="1"/>
  <c r="AR28" i="10"/>
  <c r="AS28" i="10" s="1"/>
  <c r="AT28" i="10" s="1"/>
  <c r="AR13" i="10"/>
  <c r="AS13" i="10" s="1"/>
  <c r="AT13" i="10" s="1"/>
  <c r="AO19" i="10"/>
  <c r="AP19" i="10" s="1"/>
  <c r="AQ19" i="10" s="1"/>
  <c r="AO11" i="10"/>
  <c r="AP11" i="10" s="1"/>
  <c r="AQ11" i="10" s="1"/>
  <c r="AL32" i="10"/>
  <c r="AM32" i="10" s="1"/>
  <c r="AN32" i="10" s="1"/>
  <c r="AL17" i="10"/>
  <c r="AM17" i="10" s="1"/>
  <c r="AN17" i="10" s="1"/>
  <c r="AL9" i="10"/>
  <c r="AM9" i="10" s="1"/>
  <c r="AN9" i="10" s="1"/>
  <c r="AI30" i="10"/>
  <c r="AJ30" i="10" s="1"/>
  <c r="AK30" i="10" s="1"/>
  <c r="AI15" i="10"/>
  <c r="AJ15" i="10" s="1"/>
  <c r="AK15" i="10" s="1"/>
  <c r="AI7" i="10"/>
  <c r="AJ7" i="10" s="1"/>
  <c r="AK7" i="10" s="1"/>
  <c r="AF28" i="10"/>
  <c r="AG28" i="10" s="1"/>
  <c r="AH28" i="10" s="1"/>
  <c r="AF13" i="10"/>
  <c r="AG13" i="10" s="1"/>
  <c r="AH13" i="10" s="1"/>
  <c r="AC19" i="10"/>
  <c r="AD19" i="10" s="1"/>
  <c r="AE19" i="10" s="1"/>
  <c r="AC11" i="10"/>
  <c r="AD11" i="10" s="1"/>
  <c r="AE11" i="10" s="1"/>
  <c r="Z32" i="10"/>
  <c r="AA32" i="10" s="1"/>
  <c r="AB32" i="10" s="1"/>
  <c r="Z17" i="10"/>
  <c r="AA17" i="10" s="1"/>
  <c r="AB17" i="10" s="1"/>
  <c r="Z9" i="10"/>
  <c r="AA9" i="10" s="1"/>
  <c r="AB9" i="10" s="1"/>
  <c r="W31" i="10"/>
  <c r="X31" i="10" s="1"/>
  <c r="Y31" i="10" s="1"/>
  <c r="W16" i="10"/>
  <c r="X16" i="10" s="1"/>
  <c r="Y16" i="10" s="1"/>
  <c r="W8" i="10"/>
  <c r="X8" i="10" s="1"/>
  <c r="Y8" i="10" s="1"/>
  <c r="T29" i="10"/>
  <c r="U29" i="10" s="1"/>
  <c r="V29" i="10" s="1"/>
  <c r="T14" i="10"/>
  <c r="U14" i="10" s="1"/>
  <c r="V14" i="10" s="1"/>
  <c r="Q20" i="10"/>
  <c r="R20" i="10" s="1"/>
  <c r="S20" i="10" s="1"/>
  <c r="Q12" i="10"/>
  <c r="R12" i="10" s="1"/>
  <c r="S12" i="10" s="1"/>
  <c r="N18" i="10"/>
  <c r="O18" i="10" s="1"/>
  <c r="P18" i="10" s="1"/>
  <c r="N10" i="10"/>
  <c r="O10" i="10" s="1"/>
  <c r="P10" i="10" s="1"/>
  <c r="K31" i="10"/>
  <c r="K15" i="10"/>
  <c r="K7" i="10"/>
  <c r="H17" i="10"/>
  <c r="H9" i="10"/>
  <c r="AR22" i="10"/>
  <c r="AS22" i="10" s="1"/>
  <c r="AT22" i="10" s="1"/>
  <c r="Z26" i="10"/>
  <c r="AA26" i="10" s="1"/>
  <c r="AB26" i="10" s="1"/>
  <c r="Z27" i="10"/>
  <c r="AA27" i="10" s="1"/>
  <c r="AB27" i="10" s="1"/>
  <c r="H28" i="10"/>
  <c r="AU11" i="10"/>
  <c r="AV11" i="10" s="1"/>
  <c r="AW11" i="10" s="1"/>
  <c r="AR17" i="10"/>
  <c r="AS17" i="10" s="1"/>
  <c r="AT17" i="10" s="1"/>
  <c r="AO30" i="10"/>
  <c r="AP30" i="10" s="1"/>
  <c r="AQ30" i="10" s="1"/>
  <c r="AO7" i="10"/>
  <c r="AP7" i="10" s="1"/>
  <c r="AQ7" i="10" s="1"/>
  <c r="AL13" i="10"/>
  <c r="AM13" i="10" s="1"/>
  <c r="AN13" i="10" s="1"/>
  <c r="AI19" i="10"/>
  <c r="AJ19" i="10" s="1"/>
  <c r="AK19" i="10" s="1"/>
  <c r="AF32" i="10"/>
  <c r="AG32" i="10" s="1"/>
  <c r="AH32" i="10" s="1"/>
  <c r="AF9" i="10"/>
  <c r="AG9" i="10" s="1"/>
  <c r="AH9" i="10" s="1"/>
  <c r="AC15" i="10"/>
  <c r="AD15" i="10" s="1"/>
  <c r="AE15" i="10" s="1"/>
  <c r="Z28" i="10"/>
  <c r="AA28" i="10" s="1"/>
  <c r="AB28" i="10" s="1"/>
  <c r="W12" i="10"/>
  <c r="X12" i="10" s="1"/>
  <c r="Y12" i="10" s="1"/>
  <c r="T18" i="10"/>
  <c r="U18" i="10" s="1"/>
  <c r="V18" i="10" s="1"/>
  <c r="Q31" i="10"/>
  <c r="R31" i="10" s="1"/>
  <c r="S31" i="10" s="1"/>
  <c r="Q8" i="10"/>
  <c r="R8" i="10" s="1"/>
  <c r="S8" i="10" s="1"/>
  <c r="N29" i="10"/>
  <c r="O29" i="10" s="1"/>
  <c r="P29" i="10" s="1"/>
  <c r="K19" i="10"/>
  <c r="H32" i="10"/>
  <c r="Q24" i="10"/>
  <c r="R24" i="10" s="1"/>
  <c r="S24" i="10" s="1"/>
  <c r="AF26" i="10"/>
  <c r="AG26" i="10" s="1"/>
  <c r="AH26" i="10" s="1"/>
  <c r="AU31" i="10"/>
  <c r="AV31" i="10" s="1"/>
  <c r="AW31" i="10" s="1"/>
  <c r="AU8" i="10"/>
  <c r="AV8" i="10" s="1"/>
  <c r="AW8" i="10" s="1"/>
  <c r="AR14" i="10"/>
  <c r="AS14" i="10" s="1"/>
  <c r="AT14" i="10" s="1"/>
  <c r="AO20" i="10"/>
  <c r="AP20" i="10" s="1"/>
  <c r="AQ20" i="10" s="1"/>
  <c r="AL18" i="10"/>
  <c r="AM18" i="10" s="1"/>
  <c r="AN18" i="10" s="1"/>
  <c r="AI31" i="10"/>
  <c r="AJ31" i="10" s="1"/>
  <c r="AK31" i="10" s="1"/>
  <c r="AI8" i="10"/>
  <c r="AJ8" i="10" s="1"/>
  <c r="AK8" i="10" s="1"/>
  <c r="AF14" i="10"/>
  <c r="AG14" i="10" s="1"/>
  <c r="AH14" i="10" s="1"/>
  <c r="AC20" i="10"/>
  <c r="AD20" i="10" s="1"/>
  <c r="AE20" i="10" s="1"/>
  <c r="Z10" i="10"/>
  <c r="AA10" i="10" s="1"/>
  <c r="AB10" i="10" s="1"/>
  <c r="W17" i="10"/>
  <c r="X17" i="10" s="1"/>
  <c r="Y17" i="10" s="1"/>
  <c r="T30" i="10"/>
  <c r="U30" i="10" s="1"/>
  <c r="V30" i="10" s="1"/>
  <c r="T7" i="10"/>
  <c r="U7" i="10" s="1"/>
  <c r="V7" i="10" s="1"/>
  <c r="Q13" i="10"/>
  <c r="R13" i="10" s="1"/>
  <c r="S13" i="10" s="1"/>
  <c r="N19" i="10"/>
  <c r="O19" i="10" s="1"/>
  <c r="P19" i="10" s="1"/>
  <c r="K32" i="10"/>
  <c r="K16" i="10"/>
  <c r="H29" i="10"/>
  <c r="Q21" i="10"/>
  <c r="R21" i="10" s="1"/>
  <c r="S21" i="10" s="1"/>
  <c r="Q23" i="10"/>
  <c r="R23" i="10" s="1"/>
  <c r="S23" i="10" s="1"/>
  <c r="Q25" i="10"/>
  <c r="R25" i="10" s="1"/>
  <c r="S25" i="10" s="1"/>
  <c r="W26" i="10"/>
  <c r="X26" i="10" s="1"/>
  <c r="Y26" i="10" s="1"/>
  <c r="AO26" i="10"/>
  <c r="AP26" i="10" s="1"/>
  <c r="AQ26" i="10" s="1"/>
  <c r="K27" i="10"/>
  <c r="L27" i="10" s="1"/>
  <c r="M27" i="10" s="1"/>
  <c r="W27" i="10"/>
  <c r="X27" i="10" s="1"/>
  <c r="Y27" i="10" s="1"/>
  <c r="AO27" i="10"/>
  <c r="AP27" i="10" s="1"/>
  <c r="AQ27" i="10" s="1"/>
  <c r="H20" i="10"/>
  <c r="AU20" i="10"/>
  <c r="AV20" i="10" s="1"/>
  <c r="AW20" i="10" s="1"/>
  <c r="AU12" i="10"/>
  <c r="AV12" i="10" s="1"/>
  <c r="AW12" i="10" s="1"/>
  <c r="AR18" i="10"/>
  <c r="AS18" i="10" s="1"/>
  <c r="AT18" i="10" s="1"/>
  <c r="AR10" i="10"/>
  <c r="AS10" i="10" s="1"/>
  <c r="AT10" i="10" s="1"/>
  <c r="AO31" i="10"/>
  <c r="AP31" i="10" s="1"/>
  <c r="AQ31" i="10" s="1"/>
  <c r="AO16" i="10"/>
  <c r="AP16" i="10" s="1"/>
  <c r="AQ16" i="10" s="1"/>
  <c r="AO8" i="10"/>
  <c r="AP8" i="10" s="1"/>
  <c r="AQ8" i="10" s="1"/>
  <c r="AL29" i="10"/>
  <c r="AM29" i="10" s="1"/>
  <c r="AN29" i="10" s="1"/>
  <c r="AL14" i="10"/>
  <c r="AM14" i="10" s="1"/>
  <c r="AN14" i="10" s="1"/>
  <c r="AI20" i="10"/>
  <c r="AJ20" i="10" s="1"/>
  <c r="AK20" i="10" s="1"/>
  <c r="AI12" i="10"/>
  <c r="AJ12" i="10" s="1"/>
  <c r="AK12" i="10" s="1"/>
  <c r="AF18" i="10"/>
  <c r="AG18" i="10" s="1"/>
  <c r="AH18" i="10" s="1"/>
  <c r="AF10" i="10"/>
  <c r="AG10" i="10" s="1"/>
  <c r="AH10" i="10" s="1"/>
  <c r="AC31" i="10"/>
  <c r="AD31" i="10" s="1"/>
  <c r="AE31" i="10" s="1"/>
  <c r="AC16" i="10"/>
  <c r="AD16" i="10" s="1"/>
  <c r="AE16" i="10" s="1"/>
  <c r="AC8" i="10"/>
  <c r="AD8" i="10" s="1"/>
  <c r="AE8" i="10" s="1"/>
  <c r="Z29" i="10"/>
  <c r="AA29" i="10" s="1"/>
  <c r="AB29" i="10" s="1"/>
  <c r="Z14" i="10"/>
  <c r="AA14" i="10" s="1"/>
  <c r="AB14" i="10" s="1"/>
  <c r="W28" i="10"/>
  <c r="X28" i="10" s="1"/>
  <c r="Y28" i="10" s="1"/>
  <c r="W13" i="10"/>
  <c r="X13" i="10" s="1"/>
  <c r="Y13" i="10" s="1"/>
  <c r="T19" i="10"/>
  <c r="U19" i="10" s="1"/>
  <c r="V19" i="10" s="1"/>
  <c r="T11" i="10"/>
  <c r="U11" i="10" s="1"/>
  <c r="V11" i="10" s="1"/>
  <c r="Q32" i="10"/>
  <c r="R32" i="10" s="1"/>
  <c r="S32" i="10" s="1"/>
  <c r="Q17" i="10"/>
  <c r="R17" i="10" s="1"/>
  <c r="S17" i="10" s="1"/>
  <c r="Q9" i="10"/>
  <c r="R9" i="10" s="1"/>
  <c r="S9" i="10" s="1"/>
  <c r="N30" i="10"/>
  <c r="O30" i="10" s="1"/>
  <c r="P30" i="10" s="1"/>
  <c r="N15" i="10"/>
  <c r="O15" i="10" s="1"/>
  <c r="P15" i="10" s="1"/>
  <c r="N7" i="10"/>
  <c r="O7" i="10" s="1"/>
  <c r="P7" i="10" s="1"/>
  <c r="K28" i="10"/>
  <c r="K12" i="10"/>
  <c r="H14" i="10"/>
  <c r="Z21" i="10"/>
  <c r="AA21" i="10" s="1"/>
  <c r="AB21" i="10" s="1"/>
  <c r="Z23" i="10"/>
  <c r="AA23" i="10" s="1"/>
  <c r="AB23" i="10" s="1"/>
  <c r="AR24" i="10"/>
  <c r="AS24" i="10" s="1"/>
  <c r="AT24" i="10" s="1"/>
  <c r="Z25" i="10"/>
  <c r="AA25" i="10" s="1"/>
  <c r="AB25" i="10" s="1"/>
  <c r="AR26" i="10"/>
  <c r="AS26" i="10" s="1"/>
  <c r="AT26" i="10" s="1"/>
  <c r="AR27" i="10"/>
  <c r="AS27" i="10" s="1"/>
  <c r="AT27" i="10" s="1"/>
  <c r="AU19" i="10"/>
  <c r="AV19" i="10" s="1"/>
  <c r="AW19" i="10" s="1"/>
  <c r="AR32" i="10"/>
  <c r="AS32" i="10" s="1"/>
  <c r="AT32" i="10" s="1"/>
  <c r="AR9" i="10"/>
  <c r="AS9" i="10" s="1"/>
  <c r="AT9" i="10" s="1"/>
  <c r="AO15" i="10"/>
  <c r="AP15" i="10" s="1"/>
  <c r="AQ15" i="10" s="1"/>
  <c r="AL28" i="10"/>
  <c r="AM28" i="10" s="1"/>
  <c r="AN28" i="10" s="1"/>
  <c r="AI11" i="10"/>
  <c r="AJ11" i="10" s="1"/>
  <c r="AK11" i="10" s="1"/>
  <c r="AF17" i="10"/>
  <c r="AG17" i="10" s="1"/>
  <c r="AH17" i="10" s="1"/>
  <c r="AC30" i="10"/>
  <c r="AD30" i="10" s="1"/>
  <c r="AE30" i="10" s="1"/>
  <c r="AC7" i="10"/>
  <c r="AD7" i="10" s="1"/>
  <c r="AE7" i="10" s="1"/>
  <c r="Z13" i="10"/>
  <c r="AA13" i="10" s="1"/>
  <c r="AB13" i="10" s="1"/>
  <c r="W20" i="10"/>
  <c r="X20" i="10" s="1"/>
  <c r="Y20" i="10" s="1"/>
  <c r="T10" i="10"/>
  <c r="U10" i="10" s="1"/>
  <c r="V10" i="10" s="1"/>
  <c r="Q16" i="10"/>
  <c r="R16" i="10" s="1"/>
  <c r="S16" i="10" s="1"/>
  <c r="N14" i="10"/>
  <c r="O14" i="10" s="1"/>
  <c r="P14" i="10" s="1"/>
  <c r="K11" i="10"/>
  <c r="H13" i="10"/>
  <c r="Q22" i="10"/>
  <c r="R22" i="10" s="1"/>
  <c r="S22" i="10" s="1"/>
  <c r="AF27" i="10"/>
  <c r="AG27" i="10" s="1"/>
  <c r="AH27" i="10" s="1"/>
  <c r="AU16" i="10"/>
  <c r="AV16" i="10" s="1"/>
  <c r="AW16" i="10" s="1"/>
  <c r="AR29" i="10"/>
  <c r="AS29" i="10" s="1"/>
  <c r="AT29" i="10" s="1"/>
  <c r="AO12" i="10"/>
  <c r="AP12" i="10" s="1"/>
  <c r="AQ12" i="10" s="1"/>
  <c r="AL10" i="10"/>
  <c r="AM10" i="10" s="1"/>
  <c r="AN10" i="10" s="1"/>
  <c r="AI16" i="10"/>
  <c r="AJ16" i="10" s="1"/>
  <c r="AK16" i="10" s="1"/>
  <c r="AF29" i="10"/>
  <c r="AG29" i="10" s="1"/>
  <c r="AH29" i="10" s="1"/>
  <c r="AC12" i="10"/>
  <c r="AD12" i="10" s="1"/>
  <c r="AE12" i="10" s="1"/>
  <c r="Z18" i="10"/>
  <c r="AA18" i="10" s="1"/>
  <c r="AB18" i="10" s="1"/>
  <c r="W32" i="10"/>
  <c r="X32" i="10" s="1"/>
  <c r="Y32" i="10" s="1"/>
  <c r="W9" i="10"/>
  <c r="X9" i="10" s="1"/>
  <c r="Y9" i="10" s="1"/>
  <c r="T15" i="10"/>
  <c r="U15" i="10" s="1"/>
  <c r="V15" i="10" s="1"/>
  <c r="Q28" i="10"/>
  <c r="R28" i="10" s="1"/>
  <c r="S28" i="10" s="1"/>
  <c r="N11" i="10"/>
  <c r="O11" i="10" s="1"/>
  <c r="P11" i="10" s="1"/>
  <c r="K8" i="10"/>
  <c r="H10" i="10"/>
  <c r="DT37" i="20"/>
  <c r="DH37" i="20"/>
  <c r="CJ37" i="20"/>
  <c r="EF37" i="20"/>
  <c r="EQ36" i="3"/>
  <c r="EK36" i="3"/>
  <c r="DY36" i="3"/>
  <c r="DS36" i="3"/>
  <c r="DG36" i="3"/>
  <c r="DA36" i="3"/>
  <c r="EO36" i="3"/>
  <c r="EP36" i="3"/>
  <c r="EL1" i="3"/>
  <c r="EL4" i="3" s="1"/>
  <c r="DX36" i="3"/>
  <c r="DW36" i="3"/>
  <c r="DT1" i="3"/>
  <c r="DT4" i="3" s="1"/>
  <c r="DF36" i="3"/>
  <c r="DE36" i="3"/>
  <c r="DB1" i="3"/>
  <c r="DB4" i="3" s="1"/>
  <c r="BM8" i="13" l="1"/>
  <c r="BM10" i="13"/>
  <c r="BT10" i="13"/>
  <c r="BT11" i="13"/>
  <c r="BM11" i="13"/>
  <c r="DS23" i="13"/>
  <c r="DY23" i="13" s="1"/>
  <c r="CZ23" i="13" s="1"/>
  <c r="AN23" i="13" s="1"/>
  <c r="BN17" i="31" s="1"/>
  <c r="DS30" i="13"/>
  <c r="DY30" i="13" s="1"/>
  <c r="DS25" i="13"/>
  <c r="DY25" i="13" s="1"/>
  <c r="CZ25" i="13" s="1"/>
  <c r="AN25" i="13" s="1"/>
  <c r="BN19" i="31" s="1"/>
  <c r="DS18" i="13"/>
  <c r="DY18" i="13" s="1"/>
  <c r="CZ18" i="13" s="1"/>
  <c r="AN18" i="13" s="1"/>
  <c r="DS20" i="13"/>
  <c r="DY20" i="13" s="1"/>
  <c r="CZ20" i="13" s="1"/>
  <c r="AN20" i="13" s="1"/>
  <c r="DS14" i="13"/>
  <c r="DY14" i="13" s="1"/>
  <c r="CZ14" i="13" s="1"/>
  <c r="AN14" i="13" s="1"/>
  <c r="DS21" i="13"/>
  <c r="DY21" i="13" s="1"/>
  <c r="CZ21" i="13" s="1"/>
  <c r="AN21" i="13" s="1"/>
  <c r="DS19" i="13"/>
  <c r="DY19" i="13" s="1"/>
  <c r="CZ19" i="13" s="1"/>
  <c r="AN19" i="13" s="1"/>
  <c r="DS31" i="13"/>
  <c r="DY31" i="13" s="1"/>
  <c r="DS15" i="13"/>
  <c r="DY15" i="13" s="1"/>
  <c r="CZ15" i="13" s="1"/>
  <c r="AN15" i="13" s="1"/>
  <c r="DS29" i="13"/>
  <c r="DY29" i="13" s="1"/>
  <c r="DS27" i="13"/>
  <c r="DY27" i="13" s="1"/>
  <c r="CZ27" i="13" s="1"/>
  <c r="AN27" i="13" s="1"/>
  <c r="BN21" i="31" s="1"/>
  <c r="DS32" i="13"/>
  <c r="DY32" i="13" s="1"/>
  <c r="DS9" i="13"/>
  <c r="DY9" i="13" s="1"/>
  <c r="CZ9" i="13" s="1"/>
  <c r="AN9" i="13" s="1"/>
  <c r="DS26" i="13"/>
  <c r="DY26" i="13" s="1"/>
  <c r="CZ26" i="13" s="1"/>
  <c r="AN26" i="13" s="1"/>
  <c r="BN20" i="31" s="1"/>
  <c r="DS16" i="13"/>
  <c r="DY16" i="13" s="1"/>
  <c r="CZ16" i="13" s="1"/>
  <c r="AN16" i="13" s="1"/>
  <c r="DS22" i="13"/>
  <c r="DY22" i="13" s="1"/>
  <c r="CZ22" i="13" s="1"/>
  <c r="AN22" i="13" s="1"/>
  <c r="BN16" i="31" s="1"/>
  <c r="DS28" i="13"/>
  <c r="DY28" i="13" s="1"/>
  <c r="DS12" i="13"/>
  <c r="DY12" i="13" s="1"/>
  <c r="CZ12" i="13" s="1"/>
  <c r="AN12" i="13" s="1"/>
  <c r="DS17" i="13"/>
  <c r="DY17" i="13" s="1"/>
  <c r="CZ17" i="13" s="1"/>
  <c r="AN17" i="13" s="1"/>
  <c r="DS13" i="13"/>
  <c r="DY13" i="13" s="1"/>
  <c r="CZ13" i="13" s="1"/>
  <c r="AN13" i="13" s="1"/>
  <c r="DS24" i="13"/>
  <c r="DY24" i="13" s="1"/>
  <c r="CZ24" i="13" s="1"/>
  <c r="AN24" i="13" s="1"/>
  <c r="BN18" i="31" s="1"/>
  <c r="BB6" i="13"/>
  <c r="B3" i="23"/>
  <c r="CG11" i="13"/>
  <c r="CD11" i="13"/>
  <c r="BZ10" i="13"/>
  <c r="CD10" i="13"/>
  <c r="CA10" i="13"/>
  <c r="CH11" i="13"/>
  <c r="BZ11" i="13"/>
  <c r="CC10" i="13"/>
  <c r="CA11" i="13"/>
  <c r="CC11" i="13"/>
  <c r="CG10" i="13"/>
  <c r="AV5" i="31" l="1"/>
  <c r="AU4" i="31"/>
  <c r="AR4" i="31"/>
  <c r="AO4" i="31"/>
  <c r="AX4" i="31"/>
  <c r="CN11" i="13"/>
  <c r="DL11" i="13" s="1"/>
  <c r="AO5" i="31"/>
  <c r="AX5" i="31"/>
  <c r="AR5" i="31"/>
  <c r="CR11" i="13"/>
  <c r="DM11" i="13" s="1"/>
  <c r="CV11" i="13"/>
  <c r="CN10" i="13"/>
  <c r="DL10" i="13" s="1"/>
  <c r="CR10" i="13"/>
  <c r="DM10" i="13" s="1"/>
  <c r="CV10" i="13"/>
  <c r="O5" i="8"/>
  <c r="E5" i="8"/>
  <c r="BR5" i="11"/>
  <c r="BJ5" i="11"/>
  <c r="BF5" i="11"/>
  <c r="BB5" i="11"/>
  <c r="AT5" i="11"/>
  <c r="AP5" i="11"/>
  <c r="AL5" i="11"/>
  <c r="AH5" i="11"/>
  <c r="J5" i="11"/>
  <c r="B5" i="11"/>
  <c r="K5" i="10"/>
  <c r="H5" i="10"/>
  <c r="E5" i="10"/>
  <c r="B5" i="10"/>
  <c r="BC5" i="24"/>
  <c r="AW5" i="24"/>
  <c r="AQ5" i="24"/>
  <c r="AK5" i="24"/>
  <c r="AE5" i="24"/>
  <c r="Y5" i="24"/>
  <c r="S5" i="24"/>
  <c r="N5" i="24"/>
  <c r="J5" i="24"/>
  <c r="F5" i="24"/>
  <c r="B5" i="24"/>
  <c r="CE10" i="13"/>
  <c r="CI10" i="13"/>
  <c r="CH10" i="13"/>
  <c r="AV4" i="31" l="1"/>
  <c r="AX10" i="13"/>
  <c r="BB4" i="31"/>
  <c r="BE4" i="31"/>
  <c r="DS10" i="13"/>
  <c r="DY10" i="13" s="1"/>
  <c r="CZ10" i="13" s="1"/>
  <c r="AN10" i="13" s="1"/>
  <c r="DS11" i="13"/>
  <c r="DY11" i="13" s="1"/>
  <c r="CZ11" i="13" s="1"/>
  <c r="AN11" i="13" s="1"/>
  <c r="DW8" i="13"/>
  <c r="I18" i="10"/>
  <c r="I19" i="10"/>
  <c r="I20" i="10"/>
  <c r="I28" i="10"/>
  <c r="I29" i="10"/>
  <c r="I30" i="10"/>
  <c r="I31" i="10"/>
  <c r="I32" i="10"/>
  <c r="I37" i="10"/>
  <c r="C17" i="10"/>
  <c r="C18" i="10"/>
  <c r="C19" i="10"/>
  <c r="C20" i="10"/>
  <c r="C28" i="10"/>
  <c r="C29" i="10"/>
  <c r="C30" i="10"/>
  <c r="C31" i="10"/>
  <c r="C32" i="10"/>
  <c r="C37" i="10"/>
  <c r="BL4" i="3"/>
  <c r="BH4" i="3"/>
  <c r="AZ4" i="3"/>
  <c r="AV4" i="3"/>
  <c r="AN4" i="3"/>
  <c r="AJ4" i="3"/>
  <c r="AB4" i="3"/>
  <c r="X4" i="3"/>
  <c r="H4" i="3"/>
  <c r="EF1" i="3"/>
  <c r="EF4" i="3" s="1"/>
  <c r="DN1" i="3"/>
  <c r="DN4" i="3" s="1"/>
  <c r="CV1" i="3"/>
  <c r="CV4" i="3" s="1"/>
  <c r="BX1" i="3"/>
  <c r="BX4" i="3" s="1"/>
  <c r="L4" i="15"/>
  <c r="M4" i="15"/>
  <c r="O4" i="15"/>
  <c r="Q4" i="15"/>
  <c r="S4" i="15"/>
  <c r="T4" i="15"/>
  <c r="W4" i="15"/>
  <c r="X4" i="15"/>
  <c r="Y4" i="15"/>
  <c r="Z4" i="15"/>
  <c r="AA4" i="15"/>
  <c r="AC4" i="15"/>
  <c r="AE4" i="15"/>
  <c r="AB4" i="15"/>
  <c r="DV8" i="13" l="1"/>
  <c r="AT37" i="24"/>
  <c r="AN37" i="24"/>
  <c r="AV15" i="13" l="1"/>
  <c r="AV17" i="13"/>
  <c r="AV21" i="13"/>
  <c r="AV18" i="13"/>
  <c r="AV16" i="13"/>
  <c r="AV19" i="13"/>
  <c r="AV10" i="13"/>
  <c r="AV11" i="13"/>
  <c r="AV13" i="13"/>
  <c r="AV14" i="13"/>
  <c r="AU12" i="13"/>
  <c r="AU9" i="13"/>
  <c r="AU18" i="13"/>
  <c r="AU16" i="13"/>
  <c r="AU10" i="13"/>
  <c r="AU17" i="13"/>
  <c r="AU13" i="13"/>
  <c r="AU14" i="13"/>
  <c r="AU15" i="13"/>
  <c r="AU19" i="13"/>
  <c r="AU20" i="13"/>
  <c r="AU11" i="13"/>
  <c r="AU21" i="13"/>
  <c r="AV15" i="31"/>
  <c r="AV12" i="31"/>
  <c r="AU15" i="31"/>
  <c r="AS7" i="31"/>
  <c r="AS13" i="31"/>
  <c r="AS4" i="31"/>
  <c r="AS5" i="31"/>
  <c r="AS9" i="31"/>
  <c r="AS8" i="31"/>
  <c r="AR13" i="31"/>
  <c r="AR9" i="31"/>
  <c r="AM14" i="31"/>
  <c r="AM6" i="31"/>
  <c r="AM12" i="31"/>
  <c r="AM4" i="31"/>
  <c r="AM7" i="31"/>
  <c r="AM9" i="31"/>
  <c r="AM5" i="31"/>
  <c r="AM3" i="31"/>
  <c r="AM8" i="31"/>
  <c r="AM13" i="31"/>
  <c r="AM15" i="31"/>
  <c r="AX21" i="13"/>
  <c r="BN12" i="31"/>
  <c r="AY12" i="31"/>
  <c r="AP12" i="31"/>
  <c r="AP9" i="31"/>
  <c r="AY9" i="31"/>
  <c r="AO11" i="31"/>
  <c r="AX11" i="31"/>
  <c r="AX9" i="31"/>
  <c r="AO9" i="31"/>
  <c r="BA15" i="31"/>
  <c r="AO15" i="31"/>
  <c r="AX15" i="31"/>
  <c r="AX13" i="31"/>
  <c r="AO13" i="31"/>
  <c r="AP10" i="31"/>
  <c r="AY10" i="31"/>
  <c r="AP13" i="31"/>
  <c r="AY13" i="31"/>
  <c r="BB15" i="31"/>
  <c r="AP15" i="31"/>
  <c r="AY15" i="31"/>
  <c r="AY11" i="31"/>
  <c r="AP11" i="31"/>
  <c r="AP3" i="31"/>
  <c r="AY8" i="31"/>
  <c r="AP8" i="31"/>
  <c r="AO8" i="31"/>
  <c r="AX8" i="31"/>
  <c r="AP7" i="31"/>
  <c r="AY7" i="31"/>
  <c r="AP5" i="31"/>
  <c r="AY5" i="31"/>
  <c r="AY4" i="31"/>
  <c r="AP4" i="31"/>
  <c r="AP36" i="3"/>
  <c r="AQ36" i="3"/>
  <c r="BB36" i="3"/>
  <c r="BC36" i="3"/>
  <c r="BN36" i="3"/>
  <c r="BO36" i="3"/>
  <c r="BJ36" i="3"/>
  <c r="BK36" i="3"/>
  <c r="BF37" i="24"/>
  <c r="AZ37" i="24"/>
  <c r="AH37" i="24"/>
  <c r="AB37" i="24"/>
  <c r="Q37" i="24"/>
  <c r="P37" i="24"/>
  <c r="M37" i="24"/>
  <c r="L37" i="24"/>
  <c r="I37" i="24"/>
  <c r="H37" i="24"/>
  <c r="E37" i="24"/>
  <c r="D37" i="24"/>
  <c r="X8" i="24" l="1"/>
  <c r="X24" i="24"/>
  <c r="X9" i="24"/>
  <c r="X25" i="24"/>
  <c r="X10" i="24"/>
  <c r="X26" i="24"/>
  <c r="X11" i="24"/>
  <c r="X27" i="24"/>
  <c r="X12" i="24"/>
  <c r="X28" i="24"/>
  <c r="X13" i="24"/>
  <c r="X29" i="24"/>
  <c r="X14" i="24"/>
  <c r="X30" i="24"/>
  <c r="X15" i="24"/>
  <c r="X31" i="24"/>
  <c r="X16" i="24"/>
  <c r="X32" i="24"/>
  <c r="X17" i="24"/>
  <c r="X33" i="24"/>
  <c r="X18" i="24"/>
  <c r="X34" i="24"/>
  <c r="X19" i="24"/>
  <c r="X35" i="24"/>
  <c r="X20" i="24"/>
  <c r="X7" i="24"/>
  <c r="X21" i="24"/>
  <c r="X22" i="24"/>
  <c r="X23" i="24"/>
  <c r="Q33" i="24"/>
  <c r="Q34" i="24"/>
  <c r="Q35" i="24"/>
  <c r="M34" i="24"/>
  <c r="M35" i="24"/>
  <c r="M33" i="24"/>
  <c r="I33" i="24"/>
  <c r="I34" i="24"/>
  <c r="I35" i="24"/>
  <c r="E33" i="24"/>
  <c r="E34" i="24"/>
  <c r="E35" i="24"/>
  <c r="D33" i="24"/>
  <c r="D34" i="24"/>
  <c r="D35" i="24"/>
  <c r="AV3" i="31"/>
  <c r="AV9" i="13"/>
  <c r="AS3" i="31"/>
  <c r="BN15" i="31"/>
  <c r="BN11" i="31"/>
  <c r="BN13" i="31"/>
  <c r="BN10" i="31"/>
  <c r="BN9" i="31"/>
  <c r="BN5" i="31"/>
  <c r="BB3" i="31"/>
  <c r="AY3" i="31"/>
  <c r="BB7" i="31"/>
  <c r="E12" i="24"/>
  <c r="E20" i="24"/>
  <c r="E28" i="24"/>
  <c r="E16" i="24"/>
  <c r="E13" i="24"/>
  <c r="E21" i="24"/>
  <c r="E29" i="24"/>
  <c r="E24" i="24"/>
  <c r="E14" i="24"/>
  <c r="E22" i="24"/>
  <c r="E30" i="24"/>
  <c r="E7" i="24"/>
  <c r="E15" i="24"/>
  <c r="E23" i="24"/>
  <c r="E31" i="24"/>
  <c r="E8" i="24"/>
  <c r="E32" i="24"/>
  <c r="E10" i="24"/>
  <c r="E18" i="24"/>
  <c r="E26" i="24"/>
  <c r="E9" i="24"/>
  <c r="E25" i="24"/>
  <c r="E11" i="24"/>
  <c r="E17" i="24"/>
  <c r="E19" i="24"/>
  <c r="E27" i="24"/>
  <c r="Q30" i="24"/>
  <c r="Q26" i="24"/>
  <c r="Q22" i="24"/>
  <c r="Q18" i="24"/>
  <c r="Q14" i="24"/>
  <c r="Q10" i="24"/>
  <c r="Q29" i="24"/>
  <c r="Q25" i="24"/>
  <c r="Q21" i="24"/>
  <c r="Q17" i="24"/>
  <c r="Q13" i="24"/>
  <c r="Q9" i="24"/>
  <c r="Q15" i="24"/>
  <c r="Q8" i="24"/>
  <c r="Q31" i="24"/>
  <c r="Q27" i="24"/>
  <c r="Q20" i="24"/>
  <c r="Q32" i="24"/>
  <c r="Q7" i="24"/>
  <c r="Q24" i="24"/>
  <c r="Q19" i="24"/>
  <c r="Q12" i="24"/>
  <c r="Q23" i="24"/>
  <c r="Q16" i="24"/>
  <c r="Q11" i="24"/>
  <c r="Q28" i="24"/>
  <c r="D7" i="24"/>
  <c r="D15" i="24"/>
  <c r="D23" i="24"/>
  <c r="D31" i="24"/>
  <c r="D19" i="24"/>
  <c r="D8" i="24"/>
  <c r="D16" i="24"/>
  <c r="D24" i="24"/>
  <c r="D32" i="24"/>
  <c r="D9" i="24"/>
  <c r="D17" i="24"/>
  <c r="D25" i="24"/>
  <c r="D11" i="24"/>
  <c r="D10" i="24"/>
  <c r="D18" i="24"/>
  <c r="D26" i="24"/>
  <c r="D27" i="24"/>
  <c r="D13" i="24"/>
  <c r="D21" i="24"/>
  <c r="D29" i="24"/>
  <c r="D12" i="24"/>
  <c r="D14" i="24"/>
  <c r="D28" i="24"/>
  <c r="D20" i="24"/>
  <c r="D22" i="24"/>
  <c r="D30" i="24"/>
  <c r="I31" i="24"/>
  <c r="I27" i="24"/>
  <c r="I23" i="24"/>
  <c r="I19" i="24"/>
  <c r="I15" i="24"/>
  <c r="I11" i="24"/>
  <c r="I7" i="24"/>
  <c r="I29" i="24"/>
  <c r="I13" i="24"/>
  <c r="I25" i="24"/>
  <c r="I9" i="24"/>
  <c r="I30" i="24"/>
  <c r="I26" i="24"/>
  <c r="I22" i="24"/>
  <c r="I18" i="24"/>
  <c r="I14" i="24"/>
  <c r="I10" i="24"/>
  <c r="I21" i="24"/>
  <c r="I17" i="24"/>
  <c r="I32" i="24"/>
  <c r="I28" i="24"/>
  <c r="I24" i="24"/>
  <c r="I20" i="24"/>
  <c r="I16" i="24"/>
  <c r="I12" i="24"/>
  <c r="I8" i="24"/>
  <c r="L31" i="24"/>
  <c r="L32" i="24"/>
  <c r="L30" i="24"/>
  <c r="L26" i="24"/>
  <c r="L22" i="24"/>
  <c r="L18" i="24"/>
  <c r="L14" i="24"/>
  <c r="L10" i="24"/>
  <c r="L29" i="24"/>
  <c r="L25" i="24"/>
  <c r="L21" i="24"/>
  <c r="L17" i="24"/>
  <c r="L13" i="24"/>
  <c r="L9" i="24"/>
  <c r="L23" i="24"/>
  <c r="L7" i="24"/>
  <c r="L20" i="24"/>
  <c r="L19" i="24"/>
  <c r="L28" i="24"/>
  <c r="L12" i="24"/>
  <c r="L8" i="24"/>
  <c r="L16" i="24"/>
  <c r="L15" i="24"/>
  <c r="L24" i="24"/>
  <c r="L27" i="24"/>
  <c r="L11" i="24"/>
  <c r="M31" i="24"/>
  <c r="M30" i="24"/>
  <c r="M26" i="24"/>
  <c r="M22" i="24"/>
  <c r="M18" i="24"/>
  <c r="M14" i="24"/>
  <c r="M10" i="24"/>
  <c r="M16" i="24"/>
  <c r="M20" i="24"/>
  <c r="M8" i="24"/>
  <c r="M29" i="24"/>
  <c r="M25" i="24"/>
  <c r="M21" i="24"/>
  <c r="M17" i="24"/>
  <c r="M13" i="24"/>
  <c r="M9" i="24"/>
  <c r="M28" i="24"/>
  <c r="M12" i="24"/>
  <c r="M24" i="24"/>
  <c r="M27" i="24"/>
  <c r="M23" i="24"/>
  <c r="M19" i="24"/>
  <c r="M15" i="24"/>
  <c r="M11" i="24"/>
  <c r="M7" i="24"/>
  <c r="M32" i="24"/>
  <c r="H31" i="24"/>
  <c r="H27" i="24"/>
  <c r="H23" i="24"/>
  <c r="H19" i="24"/>
  <c r="H15" i="24"/>
  <c r="H11" i="24"/>
  <c r="H7" i="24"/>
  <c r="H30" i="24"/>
  <c r="H26" i="24"/>
  <c r="H22" i="24"/>
  <c r="H18" i="24"/>
  <c r="H14" i="24"/>
  <c r="H10" i="24"/>
  <c r="H20" i="24"/>
  <c r="H17" i="24"/>
  <c r="H32" i="24"/>
  <c r="H16" i="24"/>
  <c r="H25" i="24"/>
  <c r="H9" i="24"/>
  <c r="H29" i="24"/>
  <c r="H13" i="24"/>
  <c r="H28" i="24"/>
  <c r="H12" i="24"/>
  <c r="H21" i="24"/>
  <c r="H24" i="24"/>
  <c r="H8" i="24"/>
  <c r="P30" i="24"/>
  <c r="P26" i="24"/>
  <c r="P22" i="24"/>
  <c r="P18" i="24"/>
  <c r="P14" i="24"/>
  <c r="P10" i="24"/>
  <c r="P28" i="24"/>
  <c r="P21" i="24"/>
  <c r="P15" i="24"/>
  <c r="P8" i="24"/>
  <c r="P12" i="24"/>
  <c r="P27" i="24"/>
  <c r="P20" i="24"/>
  <c r="P13" i="24"/>
  <c r="P32" i="24"/>
  <c r="P25" i="24"/>
  <c r="P7" i="24"/>
  <c r="P19" i="24"/>
  <c r="P29" i="24"/>
  <c r="P11" i="24"/>
  <c r="P16" i="24"/>
  <c r="P9" i="24"/>
  <c r="P24" i="24"/>
  <c r="P17" i="24"/>
  <c r="P31" i="24"/>
  <c r="P23" i="24"/>
  <c r="BN7" i="31"/>
  <c r="J36" i="3"/>
  <c r="K36" i="3"/>
  <c r="AV12" i="13" l="1"/>
  <c r="AS6" i="31"/>
  <c r="BN8" i="31"/>
  <c r="AY6" i="31"/>
  <c r="AP6" i="31"/>
  <c r="AX6" i="31"/>
  <c r="AO6" i="31"/>
  <c r="BN4" i="31"/>
  <c r="B13" i="23"/>
  <c r="AQ1" i="13"/>
  <c r="BN3" i="31" l="1"/>
  <c r="E15" i="27"/>
  <c r="C8" i="21"/>
  <c r="B30" i="23"/>
  <c r="F12" i="23"/>
  <c r="C36" i="23"/>
  <c r="B33" i="23"/>
  <c r="B27" i="23"/>
  <c r="B26" i="23"/>
  <c r="C10" i="23"/>
  <c r="B8" i="23"/>
  <c r="B7" i="23"/>
  <c r="B6" i="23"/>
  <c r="B5" i="23"/>
  <c r="B23" i="23"/>
  <c r="BN6" i="31" l="1"/>
  <c r="O3" i="31"/>
  <c r="C76" i="23"/>
  <c r="O2" i="31" l="1"/>
  <c r="O4" i="31"/>
  <c r="O8" i="31"/>
  <c r="O12" i="31"/>
  <c r="O16" i="31"/>
  <c r="O20" i="31"/>
  <c r="O24" i="31"/>
  <c r="O10" i="31"/>
  <c r="O18" i="31"/>
  <c r="O26" i="31"/>
  <c r="O7" i="31"/>
  <c r="O15" i="31"/>
  <c r="O23" i="31"/>
  <c r="O5" i="31"/>
  <c r="O9" i="31"/>
  <c r="O13" i="31"/>
  <c r="O17" i="31"/>
  <c r="O21" i="31"/>
  <c r="O25" i="31"/>
  <c r="O6" i="31"/>
  <c r="O14" i="31"/>
  <c r="O22" i="31"/>
  <c r="O11" i="31"/>
  <c r="O19" i="31"/>
  <c r="ED37" i="20" l="1"/>
  <c r="DR37" i="20"/>
  <c r="DF37" i="20"/>
  <c r="CH37" i="20"/>
  <c r="D37" i="20"/>
  <c r="D36" i="20"/>
  <c r="BY5" i="13" l="1"/>
  <c r="BW8" i="13"/>
  <c r="P2" i="31" l="1"/>
  <c r="BW14" i="13"/>
  <c r="BW23" i="13"/>
  <c r="BV10" i="13"/>
  <c r="BV8" i="13"/>
  <c r="BW12" i="13"/>
  <c r="BX18" i="13"/>
  <c r="BX17" i="13"/>
  <c r="BW30" i="13"/>
  <c r="BW24" i="13"/>
  <c r="BV30" i="13"/>
  <c r="BW21" i="13"/>
  <c r="BV18" i="13"/>
  <c r="BX8" i="13"/>
  <c r="BX31" i="13"/>
  <c r="BX32" i="13"/>
  <c r="BX23" i="13"/>
  <c r="BW20" i="13"/>
  <c r="BX21" i="13"/>
  <c r="BW19" i="13"/>
  <c r="BX26" i="13"/>
  <c r="BV31" i="13"/>
  <c r="BX20" i="13"/>
  <c r="BV20" i="13"/>
  <c r="BX13" i="13"/>
  <c r="BX14" i="13"/>
  <c r="BX30" i="13"/>
  <c r="BW28" i="13"/>
  <c r="BV12" i="13"/>
  <c r="BV9" i="13"/>
  <c r="BV22" i="13"/>
  <c r="BV14" i="13"/>
  <c r="BW11" i="13"/>
  <c r="BV19" i="13"/>
  <c r="BV13" i="13"/>
  <c r="BX11" i="13"/>
  <c r="BW32" i="13"/>
  <c r="BX28" i="13"/>
  <c r="BW10" i="13"/>
  <c r="BW18" i="13"/>
  <c r="BX9" i="13"/>
  <c r="BX24" i="13"/>
  <c r="BV27" i="13"/>
  <c r="BV32" i="13"/>
  <c r="BX22" i="13"/>
  <c r="BW13" i="13"/>
  <c r="BW9" i="13"/>
  <c r="BX15" i="13"/>
  <c r="BX19" i="13"/>
  <c r="BW15" i="13"/>
  <c r="BV25" i="13"/>
  <c r="BX25" i="13"/>
  <c r="BX10" i="13"/>
  <c r="BW22" i="13"/>
  <c r="BW27" i="13"/>
  <c r="BV24" i="13"/>
  <c r="BX29" i="13"/>
  <c r="BV21" i="13"/>
  <c r="BX12" i="13"/>
  <c r="BV15" i="13"/>
  <c r="BV23" i="13"/>
  <c r="BW17" i="13"/>
  <c r="BW29" i="13"/>
  <c r="BV17" i="13"/>
  <c r="BW31" i="13"/>
  <c r="BV28" i="13"/>
  <c r="BX27" i="13"/>
  <c r="BV26" i="13"/>
  <c r="BV16" i="13"/>
  <c r="BV29" i="13"/>
  <c r="BX16" i="13"/>
  <c r="BW16" i="13"/>
  <c r="BW26" i="13"/>
  <c r="BV11" i="13"/>
  <c r="BW25" i="13"/>
  <c r="CX9" i="13" l="1"/>
  <c r="CP17" i="13"/>
  <c r="DP17" i="13" s="1"/>
  <c r="CX17" i="13"/>
  <c r="CT17" i="13"/>
  <c r="DQ17" i="13" s="1"/>
  <c r="CP14" i="13"/>
  <c r="DP14" i="13" s="1"/>
  <c r="CT14" i="13"/>
  <c r="DQ14" i="13" s="1"/>
  <c r="CX14" i="13"/>
  <c r="CX12" i="13"/>
  <c r="CT12" i="13"/>
  <c r="DQ12" i="13" s="1"/>
  <c r="CP12" i="13"/>
  <c r="DP12" i="13" s="1"/>
  <c r="CP10" i="13"/>
  <c r="DP10" i="13" s="1"/>
  <c r="CT10" i="13"/>
  <c r="DQ10" i="13" s="1"/>
  <c r="CX10" i="13"/>
  <c r="CX30" i="13"/>
  <c r="DB30" i="13" s="1"/>
  <c r="CP30" i="13"/>
  <c r="DP30" i="13" s="1"/>
  <c r="CT30" i="13"/>
  <c r="DQ30" i="13" s="1"/>
  <c r="CP11" i="13"/>
  <c r="DP11" i="13" s="1"/>
  <c r="CX11" i="13"/>
  <c r="CT11" i="13"/>
  <c r="DQ11" i="13" s="1"/>
  <c r="CM27" i="13"/>
  <c r="DJ27" i="13" s="1"/>
  <c r="CU27" i="13"/>
  <c r="CQ27" i="13"/>
  <c r="DK27" i="13" s="1"/>
  <c r="CO22" i="13"/>
  <c r="DN22" i="13" s="1"/>
  <c r="CW22" i="13"/>
  <c r="CS22" i="13"/>
  <c r="DO22" i="13" s="1"/>
  <c r="CO28" i="13"/>
  <c r="DN28" i="13" s="1"/>
  <c r="CS28" i="13"/>
  <c r="DO28" i="13" s="1"/>
  <c r="CW28" i="13"/>
  <c r="DA28" i="13" s="1"/>
  <c r="CP18" i="13"/>
  <c r="DP18" i="13" s="1"/>
  <c r="CX18" i="13"/>
  <c r="CT18" i="13"/>
  <c r="DQ18" i="13" s="1"/>
  <c r="CO11" i="13"/>
  <c r="DN11" i="13" s="1"/>
  <c r="CW11" i="13"/>
  <c r="CS11" i="13"/>
  <c r="DO11" i="13" s="1"/>
  <c r="CT24" i="13"/>
  <c r="DQ24" i="13" s="1"/>
  <c r="CP24" i="13"/>
  <c r="DP24" i="13" s="1"/>
  <c r="CX24" i="13"/>
  <c r="CM23" i="13"/>
  <c r="DJ23" i="13" s="1"/>
  <c r="CU23" i="13"/>
  <c r="CQ23" i="13"/>
  <c r="DK23" i="13" s="1"/>
  <c r="CM17" i="13"/>
  <c r="DJ17" i="13" s="1"/>
  <c r="CQ17" i="13"/>
  <c r="DK17" i="13" s="1"/>
  <c r="CU17" i="13"/>
  <c r="CX22" i="13"/>
  <c r="CP22" i="13"/>
  <c r="DP22" i="13" s="1"/>
  <c r="CT22" i="13"/>
  <c r="DQ22" i="13" s="1"/>
  <c r="CP15" i="13"/>
  <c r="DP15" i="13" s="1"/>
  <c r="CX15" i="13"/>
  <c r="CT15" i="13"/>
  <c r="DQ15" i="13" s="1"/>
  <c r="CM15" i="13"/>
  <c r="DJ15" i="13" s="1"/>
  <c r="CQ15" i="13"/>
  <c r="DK15" i="13" s="1"/>
  <c r="CU15" i="13"/>
  <c r="CM16" i="13"/>
  <c r="DJ16" i="13" s="1"/>
  <c r="CU16" i="13"/>
  <c r="CQ16" i="13"/>
  <c r="DK16" i="13" s="1"/>
  <c r="CX13" i="13"/>
  <c r="CT13" i="13"/>
  <c r="DQ13" i="13" s="1"/>
  <c r="CP13" i="13"/>
  <c r="DP13" i="13" s="1"/>
  <c r="CM14" i="13"/>
  <c r="DJ14" i="13" s="1"/>
  <c r="CQ14" i="13"/>
  <c r="DK14" i="13" s="1"/>
  <c r="CU14" i="13"/>
  <c r="CO9" i="13"/>
  <c r="DN9" i="13" s="1"/>
  <c r="CS9" i="13"/>
  <c r="DO9" i="13" s="1"/>
  <c r="CW9" i="13"/>
  <c r="CO26" i="13"/>
  <c r="DN26" i="13" s="1"/>
  <c r="CW26" i="13"/>
  <c r="CS26" i="13"/>
  <c r="DO26" i="13" s="1"/>
  <c r="CM20" i="13"/>
  <c r="DJ20" i="13" s="1"/>
  <c r="CQ20" i="13"/>
  <c r="DK20" i="13" s="1"/>
  <c r="CU20" i="13"/>
  <c r="CM18" i="13"/>
  <c r="DJ18" i="13" s="1"/>
  <c r="CQ18" i="13"/>
  <c r="DK18" i="13" s="1"/>
  <c r="CU18" i="13"/>
  <c r="CM29" i="13"/>
  <c r="DJ29" i="13" s="1"/>
  <c r="CU29" i="13"/>
  <c r="CY29" i="13" s="1"/>
  <c r="AO29" i="13" s="1"/>
  <c r="BO23" i="31" s="1"/>
  <c r="CQ29" i="13"/>
  <c r="DK29" i="13" s="1"/>
  <c r="CO21" i="13"/>
  <c r="DN21" i="13" s="1"/>
  <c r="CS21" i="13"/>
  <c r="DO21" i="13" s="1"/>
  <c r="CW21" i="13"/>
  <c r="CO27" i="13"/>
  <c r="DN27" i="13" s="1"/>
  <c r="CS27" i="13"/>
  <c r="DO27" i="13" s="1"/>
  <c r="CW27" i="13"/>
  <c r="CX31" i="13"/>
  <c r="DB31" i="13" s="1"/>
  <c r="CT31" i="13"/>
  <c r="DQ31" i="13" s="1"/>
  <c r="CP31" i="13"/>
  <c r="DP31" i="13" s="1"/>
  <c r="CM28" i="13"/>
  <c r="DJ28" i="13" s="1"/>
  <c r="CU28" i="13"/>
  <c r="CY28" i="13" s="1"/>
  <c r="AO28" i="13" s="1"/>
  <c r="BO22" i="31" s="1"/>
  <c r="CQ28" i="13"/>
  <c r="DK28" i="13" s="1"/>
  <c r="CO24" i="13"/>
  <c r="DN24" i="13" s="1"/>
  <c r="CW24" i="13"/>
  <c r="CS24" i="13"/>
  <c r="DO24" i="13" s="1"/>
  <c r="CM12" i="13"/>
  <c r="DJ12" i="13" s="1"/>
  <c r="CQ12" i="13"/>
  <c r="DK12" i="13" s="1"/>
  <c r="CU12" i="13"/>
  <c r="CM26" i="13"/>
  <c r="DJ26" i="13" s="1"/>
  <c r="CU26" i="13"/>
  <c r="CQ26" i="13"/>
  <c r="DK26" i="13" s="1"/>
  <c r="CO15" i="13"/>
  <c r="DN15" i="13" s="1"/>
  <c r="CW15" i="13"/>
  <c r="CS15" i="13"/>
  <c r="DO15" i="13" s="1"/>
  <c r="CP27" i="13"/>
  <c r="DP27" i="13" s="1"/>
  <c r="CX27" i="13"/>
  <c r="CT27" i="13"/>
  <c r="DQ27" i="13" s="1"/>
  <c r="CO12" i="13"/>
  <c r="DN12" i="13" s="1"/>
  <c r="CW12" i="13"/>
  <c r="CS12" i="13"/>
  <c r="DO12" i="13" s="1"/>
  <c r="CM13" i="13"/>
  <c r="DJ13" i="13" s="1"/>
  <c r="CU13" i="13"/>
  <c r="CQ13" i="13"/>
  <c r="DK13" i="13" s="1"/>
  <c r="CO25" i="13"/>
  <c r="DN25" i="13" s="1"/>
  <c r="CW25" i="13"/>
  <c r="CS25" i="13"/>
  <c r="DO25" i="13" s="1"/>
  <c r="CO19" i="13"/>
  <c r="DN19" i="13" s="1"/>
  <c r="CW19" i="13"/>
  <c r="CS19" i="13"/>
  <c r="DO19" i="13" s="1"/>
  <c r="CT9" i="13"/>
  <c r="DQ9" i="13" s="1"/>
  <c r="CP9" i="13"/>
  <c r="CM22" i="13"/>
  <c r="DJ22" i="13" s="1"/>
  <c r="CQ22" i="13"/>
  <c r="DK22" i="13" s="1"/>
  <c r="CU22" i="13"/>
  <c r="CM30" i="13"/>
  <c r="DJ30" i="13" s="1"/>
  <c r="CU30" i="13"/>
  <c r="CY30" i="13" s="1"/>
  <c r="AO30" i="13" s="1"/>
  <c r="BO24" i="31" s="1"/>
  <c r="CQ30" i="13"/>
  <c r="DK30" i="13" s="1"/>
  <c r="CM11" i="13"/>
  <c r="DJ11" i="13" s="1"/>
  <c r="CU11" i="13"/>
  <c r="CQ11" i="13"/>
  <c r="DK11" i="13" s="1"/>
  <c r="CO31" i="13"/>
  <c r="DN31" i="13" s="1"/>
  <c r="CW31" i="13"/>
  <c r="DA31" i="13" s="1"/>
  <c r="CS31" i="13"/>
  <c r="DO31" i="13" s="1"/>
  <c r="CO29" i="13"/>
  <c r="DN29" i="13" s="1"/>
  <c r="CS29" i="13"/>
  <c r="DO29" i="13" s="1"/>
  <c r="CW29" i="13"/>
  <c r="DA29" i="13" s="1"/>
  <c r="CT26" i="13"/>
  <c r="DQ26" i="13" s="1"/>
  <c r="CP26" i="13"/>
  <c r="DP26" i="13" s="1"/>
  <c r="CX26" i="13"/>
  <c r="CM19" i="13"/>
  <c r="DJ19" i="13" s="1"/>
  <c r="CQ19" i="13"/>
  <c r="DK19" i="13" s="1"/>
  <c r="CU19" i="13"/>
  <c r="CM24" i="13"/>
  <c r="DJ24" i="13" s="1"/>
  <c r="CQ24" i="13"/>
  <c r="DK24" i="13" s="1"/>
  <c r="CU24" i="13"/>
  <c r="CX23" i="13"/>
  <c r="CT23" i="13"/>
  <c r="DQ23" i="13" s="1"/>
  <c r="CP23" i="13"/>
  <c r="DP23" i="13" s="1"/>
  <c r="CM32" i="13"/>
  <c r="DJ32" i="13" s="1"/>
  <c r="CU32" i="13"/>
  <c r="CQ32" i="13"/>
  <c r="DK32" i="13" s="1"/>
  <c r="CT29" i="13"/>
  <c r="DQ29" i="13" s="1"/>
  <c r="CP29" i="13"/>
  <c r="DP29" i="13" s="1"/>
  <c r="CX29" i="13"/>
  <c r="DB29" i="13" s="1"/>
  <c r="CM9" i="13"/>
  <c r="DJ9" i="13" s="1"/>
  <c r="CU9" i="13"/>
  <c r="CQ9" i="13"/>
  <c r="DK9" i="13" s="1"/>
  <c r="CO20" i="13"/>
  <c r="DN20" i="13" s="1"/>
  <c r="CW20" i="13"/>
  <c r="CS20" i="13"/>
  <c r="DO20" i="13" s="1"/>
  <c r="CM25" i="13"/>
  <c r="DJ25" i="13" s="1"/>
  <c r="CQ25" i="13"/>
  <c r="DK25" i="13" s="1"/>
  <c r="CU25" i="13"/>
  <c r="CP25" i="13"/>
  <c r="DP25" i="13" s="1"/>
  <c r="CT25" i="13"/>
  <c r="DQ25" i="13" s="1"/>
  <c r="CX25" i="13"/>
  <c r="CO32" i="13"/>
  <c r="DN32" i="13" s="1"/>
  <c r="CS32" i="13"/>
  <c r="DO32" i="13" s="1"/>
  <c r="CW32" i="13"/>
  <c r="CO23" i="13"/>
  <c r="DN23" i="13" s="1"/>
  <c r="CW23" i="13"/>
  <c r="CS23" i="13"/>
  <c r="DO23" i="13" s="1"/>
  <c r="CO13" i="13"/>
  <c r="DN13" i="13" s="1"/>
  <c r="CW13" i="13"/>
  <c r="CS13" i="13"/>
  <c r="DO13" i="13" s="1"/>
  <c r="CO10" i="13"/>
  <c r="DN10" i="13" s="1"/>
  <c r="CW10" i="13"/>
  <c r="CS10" i="13"/>
  <c r="DO10" i="13" s="1"/>
  <c r="CT20" i="13"/>
  <c r="DQ20" i="13" s="1"/>
  <c r="CX20" i="13"/>
  <c r="CP20" i="13"/>
  <c r="DP20" i="13" s="1"/>
  <c r="CO14" i="13"/>
  <c r="DN14" i="13" s="1"/>
  <c r="CW14" i="13"/>
  <c r="CS14" i="13"/>
  <c r="DO14" i="13" s="1"/>
  <c r="CX32" i="13"/>
  <c r="CP32" i="13"/>
  <c r="DP32" i="13" s="1"/>
  <c r="CT32" i="13"/>
  <c r="DQ32" i="13" s="1"/>
  <c r="CO18" i="13"/>
  <c r="DN18" i="13" s="1"/>
  <c r="CS18" i="13"/>
  <c r="DO18" i="13" s="1"/>
  <c r="CW18" i="13"/>
  <c r="CM31" i="13"/>
  <c r="DJ31" i="13" s="1"/>
  <c r="CU31" i="13"/>
  <c r="CY31" i="13" s="1"/>
  <c r="AO31" i="13" s="1"/>
  <c r="BO25" i="31" s="1"/>
  <c r="CQ31" i="13"/>
  <c r="DK31" i="13" s="1"/>
  <c r="CM21" i="13"/>
  <c r="DJ21" i="13" s="1"/>
  <c r="CU21" i="13"/>
  <c r="CQ21" i="13"/>
  <c r="DK21" i="13" s="1"/>
  <c r="CT19" i="13"/>
  <c r="DQ19" i="13" s="1"/>
  <c r="CX19" i="13"/>
  <c r="CP19" i="13"/>
  <c r="DP19" i="13" s="1"/>
  <c r="CO30" i="13"/>
  <c r="DN30" i="13" s="1"/>
  <c r="CS30" i="13"/>
  <c r="DO30" i="13" s="1"/>
  <c r="CW30" i="13"/>
  <c r="DA30" i="13" s="1"/>
  <c r="CM10" i="13"/>
  <c r="DJ10" i="13" s="1"/>
  <c r="CQ10" i="13"/>
  <c r="DK10" i="13" s="1"/>
  <c r="CU10" i="13"/>
  <c r="CT28" i="13"/>
  <c r="DQ28" i="13" s="1"/>
  <c r="CP28" i="13"/>
  <c r="DP28" i="13" s="1"/>
  <c r="CX28" i="13"/>
  <c r="DB28" i="13" s="1"/>
  <c r="CO17" i="13"/>
  <c r="DN17" i="13" s="1"/>
  <c r="CW17" i="13"/>
  <c r="CS17" i="13"/>
  <c r="DO17" i="13" s="1"/>
  <c r="CO16" i="13"/>
  <c r="DN16" i="13" s="1"/>
  <c r="CW16" i="13"/>
  <c r="CS16" i="13"/>
  <c r="DO16" i="13" s="1"/>
  <c r="CT16" i="13"/>
  <c r="DQ16" i="13" s="1"/>
  <c r="CX16" i="13"/>
  <c r="CP16" i="13"/>
  <c r="DP16" i="13" s="1"/>
  <c r="CP21" i="13"/>
  <c r="DP21" i="13" s="1"/>
  <c r="CT21" i="13"/>
  <c r="DQ21" i="13" s="1"/>
  <c r="CX21" i="13"/>
  <c r="Q8" i="31"/>
  <c r="Q15" i="31"/>
  <c r="Q23" i="31"/>
  <c r="Q16" i="31"/>
  <c r="Q24" i="31"/>
  <c r="Q26" i="31"/>
  <c r="Q5" i="31"/>
  <c r="Q7" i="31"/>
  <c r="Q12" i="31"/>
  <c r="P3" i="31"/>
  <c r="Q21" i="31"/>
  <c r="Q6" i="31"/>
  <c r="Q2" i="31"/>
  <c r="Q19" i="31"/>
  <c r="Q20" i="31"/>
  <c r="Q14" i="31"/>
  <c r="Q25" i="31"/>
  <c r="Q11" i="31"/>
  <c r="Q13" i="31"/>
  <c r="Q9" i="31"/>
  <c r="S3" i="31"/>
  <c r="Q17" i="31"/>
  <c r="Q4" i="31"/>
  <c r="Q18" i="31"/>
  <c r="Q10" i="31"/>
  <c r="Q3" i="31"/>
  <c r="Q22" i="31"/>
  <c r="ED14" i="13"/>
  <c r="ED25" i="13"/>
  <c r="ED13" i="13"/>
  <c r="ED31" i="13"/>
  <c r="ED11" i="13"/>
  <c r="ED18" i="13"/>
  <c r="ED10" i="13"/>
  <c r="ED9" i="13"/>
  <c r="ED32" i="13"/>
  <c r="ED12" i="13"/>
  <c r="ED23" i="13"/>
  <c r="ED15" i="13"/>
  <c r="ED29" i="13"/>
  <c r="ED27" i="13"/>
  <c r="ED21" i="13"/>
  <c r="ED28" i="13"/>
  <c r="ED22" i="13"/>
  <c r="ED19" i="13"/>
  <c r="ED24" i="13"/>
  <c r="ED17" i="13"/>
  <c r="ED26" i="13"/>
  <c r="ED20" i="13"/>
  <c r="ED16" i="13"/>
  <c r="ED30" i="13"/>
  <c r="EC26" i="13"/>
  <c r="EC30" i="13"/>
  <c r="EC24" i="13"/>
  <c r="EC11" i="13"/>
  <c r="EC17" i="13"/>
  <c r="EC16" i="13"/>
  <c r="EC22" i="13"/>
  <c r="EC13" i="13"/>
  <c r="EC19" i="13"/>
  <c r="EC10" i="13"/>
  <c r="EC25" i="13"/>
  <c r="EC9" i="13"/>
  <c r="EC23" i="13"/>
  <c r="EC31" i="13"/>
  <c r="EC14" i="13"/>
  <c r="EC15" i="13"/>
  <c r="EC28" i="13"/>
  <c r="EC12" i="13"/>
  <c r="EC18" i="13"/>
  <c r="EC32" i="13"/>
  <c r="EC21" i="13"/>
  <c r="EC29" i="13"/>
  <c r="EC27" i="13"/>
  <c r="EB14" i="13"/>
  <c r="EB25" i="13"/>
  <c r="EB13" i="13"/>
  <c r="EB31" i="13"/>
  <c r="EB11" i="13"/>
  <c r="EB18" i="13"/>
  <c r="EB10" i="13"/>
  <c r="EB9" i="13"/>
  <c r="EB32" i="13"/>
  <c r="EB12" i="13"/>
  <c r="EB23" i="13"/>
  <c r="EB15" i="13"/>
  <c r="EB29" i="13"/>
  <c r="EB27" i="13"/>
  <c r="EB21" i="13"/>
  <c r="EB28" i="13"/>
  <c r="EB22" i="13"/>
  <c r="EB19" i="13"/>
  <c r="EB24" i="13"/>
  <c r="EB17" i="13"/>
  <c r="EB26" i="13"/>
  <c r="EB16" i="13"/>
  <c r="EB30" i="13"/>
  <c r="S19" i="31"/>
  <c r="S16" i="31"/>
  <c r="P5" i="31"/>
  <c r="S18" i="31"/>
  <c r="P12" i="31"/>
  <c r="P21" i="31"/>
  <c r="P18" i="31"/>
  <c r="P25" i="31"/>
  <c r="S12" i="31"/>
  <c r="S15" i="31"/>
  <c r="S14" i="31"/>
  <c r="P26" i="31"/>
  <c r="P20" i="31"/>
  <c r="S11" i="31"/>
  <c r="P17" i="31"/>
  <c r="S9" i="31"/>
  <c r="P10" i="31"/>
  <c r="P19" i="31"/>
  <c r="P4" i="31"/>
  <c r="S25" i="31"/>
  <c r="S2" i="31"/>
  <c r="P22" i="31"/>
  <c r="S6" i="31"/>
  <c r="P16" i="31"/>
  <c r="S7" i="31"/>
  <c r="P13" i="31"/>
  <c r="P11" i="31"/>
  <c r="S17" i="31"/>
  <c r="S5" i="31"/>
  <c r="S4" i="31"/>
  <c r="P6" i="31"/>
  <c r="S26" i="31"/>
  <c r="P9" i="31"/>
  <c r="P24" i="31"/>
  <c r="S20" i="31"/>
  <c r="S24" i="31"/>
  <c r="S23" i="31"/>
  <c r="S13" i="31"/>
  <c r="S8" i="31"/>
  <c r="S22" i="31"/>
  <c r="P15" i="31"/>
  <c r="S21" i="31"/>
  <c r="P7" i="31"/>
  <c r="S10" i="31"/>
  <c r="P8" i="31"/>
  <c r="P14" i="31"/>
  <c r="P23" i="31"/>
  <c r="AP28" i="13" l="1"/>
  <c r="BQ22" i="31" s="1"/>
  <c r="AP29" i="13"/>
  <c r="BQ23" i="31" s="1"/>
  <c r="AP30" i="13"/>
  <c r="BQ24" i="31" s="1"/>
  <c r="AP31" i="13"/>
  <c r="BQ25" i="31" s="1"/>
  <c r="DP9" i="13"/>
  <c r="DU9" i="13" s="1"/>
  <c r="DU31" i="13"/>
  <c r="EA31" i="13" s="1"/>
  <c r="DR28" i="13"/>
  <c r="DX28" i="13" s="1"/>
  <c r="DU11" i="13"/>
  <c r="EA11" i="13" s="1"/>
  <c r="DB11" i="13" s="1"/>
  <c r="DU20" i="13"/>
  <c r="EA20" i="13" s="1"/>
  <c r="DB20" i="13" s="1"/>
  <c r="DU28" i="13"/>
  <c r="EA28" i="13" s="1"/>
  <c r="DR24" i="13"/>
  <c r="DX24" i="13" s="1"/>
  <c r="CY24" i="13" s="1"/>
  <c r="AO24" i="13" s="1"/>
  <c r="BO18" i="31" s="1"/>
  <c r="DR32" i="13"/>
  <c r="DX32" i="13" s="1"/>
  <c r="DT16" i="13"/>
  <c r="DZ16" i="13" s="1"/>
  <c r="DA16" i="13" s="1"/>
  <c r="DT14" i="13"/>
  <c r="DZ14" i="13" s="1"/>
  <c r="DA14" i="13" s="1"/>
  <c r="DU23" i="13"/>
  <c r="EA23" i="13" s="1"/>
  <c r="DB23" i="13" s="1"/>
  <c r="DT13" i="13"/>
  <c r="DZ13" i="13" s="1"/>
  <c r="DA13" i="13" s="1"/>
  <c r="DU19" i="13"/>
  <c r="EA19" i="13" s="1"/>
  <c r="DB19" i="13" s="1"/>
  <c r="DU26" i="13"/>
  <c r="EA26" i="13" s="1"/>
  <c r="DB26" i="13" s="1"/>
  <c r="DU21" i="13"/>
  <c r="EA21" i="13" s="1"/>
  <c r="DB21" i="13" s="1"/>
  <c r="DR13" i="13"/>
  <c r="DX13" i="13" s="1"/>
  <c r="CY13" i="13" s="1"/>
  <c r="AO13" i="13" s="1"/>
  <c r="BO7" i="31" s="1"/>
  <c r="DT29" i="13"/>
  <c r="DZ29" i="13" s="1"/>
  <c r="DT18" i="13"/>
  <c r="DZ18" i="13" s="1"/>
  <c r="DA18" i="13" s="1"/>
  <c r="DU13" i="13"/>
  <c r="EA13" i="13" s="1"/>
  <c r="DB13" i="13" s="1"/>
  <c r="DR16" i="13"/>
  <c r="DX16" i="13" s="1"/>
  <c r="CY16" i="13" s="1"/>
  <c r="AO16" i="13" s="1"/>
  <c r="BO10" i="31" s="1"/>
  <c r="DR27" i="13"/>
  <c r="DX27" i="13" s="1"/>
  <c r="CY27" i="13" s="1"/>
  <c r="AO27" i="13" s="1"/>
  <c r="BO21" i="31" s="1"/>
  <c r="DU30" i="13"/>
  <c r="EA30" i="13" s="1"/>
  <c r="DU15" i="13"/>
  <c r="EA15" i="13" s="1"/>
  <c r="DB15" i="13" s="1"/>
  <c r="DU17" i="13"/>
  <c r="EA17" i="13" s="1"/>
  <c r="DB17" i="13" s="1"/>
  <c r="DR17" i="13"/>
  <c r="DX17" i="13" s="1"/>
  <c r="CY17" i="13" s="1"/>
  <c r="AO17" i="13" s="1"/>
  <c r="DU18" i="13"/>
  <c r="EA18" i="13" s="1"/>
  <c r="DB18" i="13" s="1"/>
  <c r="DT27" i="13"/>
  <c r="DZ27" i="13" s="1"/>
  <c r="DA27" i="13" s="1"/>
  <c r="DT9" i="13"/>
  <c r="DZ9" i="13" s="1"/>
  <c r="DA9" i="13" s="1"/>
  <c r="DU10" i="13"/>
  <c r="EA10" i="13" s="1"/>
  <c r="DB10" i="13" s="1"/>
  <c r="DT19" i="13"/>
  <c r="DZ19" i="13" s="1"/>
  <c r="DA19" i="13" s="1"/>
  <c r="DU25" i="13"/>
  <c r="EA25" i="13" s="1"/>
  <c r="DB25" i="13" s="1"/>
  <c r="DT31" i="13"/>
  <c r="DZ31" i="13" s="1"/>
  <c r="DR14" i="13"/>
  <c r="DX14" i="13" s="1"/>
  <c r="CY14" i="13" s="1"/>
  <c r="AO14" i="13" s="1"/>
  <c r="DT28" i="13"/>
  <c r="DZ28" i="13" s="1"/>
  <c r="DR25" i="13"/>
  <c r="DX25" i="13" s="1"/>
  <c r="CY25" i="13" s="1"/>
  <c r="AO25" i="13" s="1"/>
  <c r="BO19" i="31" s="1"/>
  <c r="DR11" i="13"/>
  <c r="DX11" i="13" s="1"/>
  <c r="CY11" i="13" s="1"/>
  <c r="AO11" i="13" s="1"/>
  <c r="BO5" i="31" s="1"/>
  <c r="DT12" i="13"/>
  <c r="DZ12" i="13" s="1"/>
  <c r="DA12" i="13" s="1"/>
  <c r="DT22" i="13"/>
  <c r="DZ22" i="13" s="1"/>
  <c r="DA22" i="13" s="1"/>
  <c r="DU27" i="13"/>
  <c r="EA27" i="13" s="1"/>
  <c r="DB27" i="13" s="1"/>
  <c r="DU12" i="13"/>
  <c r="EA12" i="13" s="1"/>
  <c r="DB12" i="13" s="1"/>
  <c r="DT15" i="13"/>
  <c r="DZ15" i="13" s="1"/>
  <c r="DA15" i="13" s="1"/>
  <c r="DR30" i="13"/>
  <c r="DX30" i="13" s="1"/>
  <c r="DR9" i="13"/>
  <c r="DX9" i="13" s="1"/>
  <c r="CY9" i="13" s="1"/>
  <c r="AO9" i="13" s="1"/>
  <c r="DR12" i="13"/>
  <c r="DX12" i="13" s="1"/>
  <c r="CY12" i="13" s="1"/>
  <c r="AO12" i="13" s="1"/>
  <c r="DT24" i="13"/>
  <c r="DZ24" i="13" s="1"/>
  <c r="DA24" i="13" s="1"/>
  <c r="DR15" i="13"/>
  <c r="DX15" i="13" s="1"/>
  <c r="CY15" i="13" s="1"/>
  <c r="AO15" i="13" s="1"/>
  <c r="DR22" i="13"/>
  <c r="DX22" i="13" s="1"/>
  <c r="CY22" i="13" s="1"/>
  <c r="AO22" i="13" s="1"/>
  <c r="BO16" i="31" s="1"/>
  <c r="DU29" i="13"/>
  <c r="EA29" i="13" s="1"/>
  <c r="DT25" i="13"/>
  <c r="DZ25" i="13" s="1"/>
  <c r="DA25" i="13" s="1"/>
  <c r="DU14" i="13"/>
  <c r="EA14" i="13" s="1"/>
  <c r="DB14" i="13" s="1"/>
  <c r="DU22" i="13"/>
  <c r="EA22" i="13" s="1"/>
  <c r="DB22" i="13" s="1"/>
  <c r="DU16" i="13"/>
  <c r="EA16" i="13" s="1"/>
  <c r="DB16" i="13" s="1"/>
  <c r="DT10" i="13"/>
  <c r="DZ10" i="13" s="1"/>
  <c r="DA10" i="13" s="1"/>
  <c r="DR23" i="13"/>
  <c r="DX23" i="13" s="1"/>
  <c r="CY23" i="13" s="1"/>
  <c r="AO23" i="13" s="1"/>
  <c r="BO17" i="31" s="1"/>
  <c r="DR29" i="13"/>
  <c r="DX29" i="13" s="1"/>
  <c r="DR10" i="13"/>
  <c r="DX10" i="13" s="1"/>
  <c r="CY10" i="13" s="1"/>
  <c r="DR20" i="13"/>
  <c r="DX20" i="13" s="1"/>
  <c r="CY20" i="13" s="1"/>
  <c r="AO20" i="13" s="1"/>
  <c r="DU32" i="13"/>
  <c r="EA32" i="13" s="1"/>
  <c r="DT20" i="13"/>
  <c r="DZ20" i="13" s="1"/>
  <c r="DA20" i="13" s="1"/>
  <c r="DR26" i="13"/>
  <c r="DX26" i="13" s="1"/>
  <c r="CY26" i="13" s="1"/>
  <c r="AO26" i="13" s="1"/>
  <c r="BO20" i="31" s="1"/>
  <c r="DT21" i="13"/>
  <c r="DZ21" i="13" s="1"/>
  <c r="DA21" i="13" s="1"/>
  <c r="DT17" i="13"/>
  <c r="DZ17" i="13" s="1"/>
  <c r="DA17" i="13" s="1"/>
  <c r="DU24" i="13"/>
  <c r="EA24" i="13" s="1"/>
  <c r="DB24" i="13" s="1"/>
  <c r="DT30" i="13"/>
  <c r="DZ30" i="13" s="1"/>
  <c r="DR18" i="13"/>
  <c r="DX18" i="13" s="1"/>
  <c r="CY18" i="13" s="1"/>
  <c r="AO18" i="13" s="1"/>
  <c r="DR19" i="13"/>
  <c r="DX19" i="13" s="1"/>
  <c r="CY19" i="13" s="1"/>
  <c r="AO19" i="13" s="1"/>
  <c r="DT23" i="13"/>
  <c r="DZ23" i="13" s="1"/>
  <c r="DA23" i="13" s="1"/>
  <c r="AP23" i="13" s="1"/>
  <c r="BQ17" i="31" s="1"/>
  <c r="DT11" i="13"/>
  <c r="DZ11" i="13" s="1"/>
  <c r="DA11" i="13" s="1"/>
  <c r="DR21" i="13"/>
  <c r="DX21" i="13" s="1"/>
  <c r="CY21" i="13" s="1"/>
  <c r="AO21" i="13" s="1"/>
  <c r="DR31" i="13"/>
  <c r="DX31" i="13" s="1"/>
  <c r="DT32" i="13"/>
  <c r="DZ32" i="13" s="1"/>
  <c r="DT26" i="13"/>
  <c r="DZ26" i="13" s="1"/>
  <c r="DA26" i="13" s="1"/>
  <c r="AP16" i="13" l="1"/>
  <c r="BQ10" i="31" s="1"/>
  <c r="AP24" i="13"/>
  <c r="BQ18" i="31" s="1"/>
  <c r="AP27" i="13"/>
  <c r="BQ21" i="31" s="1"/>
  <c r="AP26" i="13"/>
  <c r="BQ20" i="31" s="1"/>
  <c r="AP25" i="13"/>
  <c r="BQ19" i="31" s="1"/>
  <c r="AO10" i="13"/>
  <c r="BO4" i="31" s="1"/>
  <c r="EA9" i="13"/>
  <c r="DB9" i="13" s="1"/>
  <c r="AP9" i="13" s="1"/>
  <c r="BO3" i="31"/>
  <c r="F15" i="27"/>
  <c r="AP11" i="13"/>
  <c r="BQ5" i="31" s="1"/>
  <c r="AP10" i="13"/>
  <c r="BQ4" i="31" s="1"/>
  <c r="BO6" i="31"/>
  <c r="AP13" i="13"/>
  <c r="BQ7" i="31" s="1"/>
  <c r="BO9" i="31"/>
  <c r="AP15" i="13"/>
  <c r="BQ9" i="31" s="1"/>
  <c r="AP18" i="13"/>
  <c r="BQ12" i="31" s="1"/>
  <c r="AP17" i="13"/>
  <c r="BQ11" i="31" s="1"/>
  <c r="BO11" i="31"/>
  <c r="AP19" i="13"/>
  <c r="BQ13" i="31" s="1"/>
  <c r="AP21" i="13"/>
  <c r="BQ15" i="31" s="1"/>
  <c r="AP22" i="13"/>
  <c r="BQ16" i="31" s="1"/>
  <c r="BO12" i="31"/>
  <c r="BO13" i="31"/>
  <c r="BO15" i="31"/>
  <c r="BO8" i="31"/>
  <c r="AP14" i="13"/>
  <c r="AP12" i="13"/>
  <c r="BQ6" i="31" s="1"/>
  <c r="AR16" i="13" l="1"/>
  <c r="AR27" i="13"/>
  <c r="BQ3" i="31"/>
  <c r="G15" i="27"/>
  <c r="AR13" i="13"/>
  <c r="AR15" i="13"/>
  <c r="AR17" i="13"/>
  <c r="AR18" i="13"/>
  <c r="AR19" i="13"/>
  <c r="AR21" i="13"/>
  <c r="BQ8" i="31"/>
  <c r="AR14" i="13"/>
  <c r="AR28" i="13"/>
  <c r="AR29" i="13"/>
  <c r="AR32" i="13"/>
  <c r="AR31" i="13"/>
  <c r="AR30" i="13"/>
  <c r="AR24" i="13" l="1"/>
  <c r="AR25" i="13"/>
  <c r="AR23" i="13"/>
  <c r="AR12" i="13"/>
  <c r="AR26" i="13"/>
  <c r="BJ2" i="31" l="1"/>
  <c r="AS18" i="13"/>
  <c r="AS26" i="13"/>
  <c r="AS10" i="13"/>
  <c r="AS29" i="13"/>
  <c r="AS22" i="13"/>
  <c r="AS9" i="13"/>
  <c r="AS32" i="13"/>
  <c r="AS25" i="13"/>
  <c r="AS31" i="13"/>
  <c r="AS12" i="13"/>
  <c r="AS24" i="13"/>
  <c r="AS17" i="13"/>
  <c r="AS23" i="13"/>
  <c r="AS11" i="13"/>
  <c r="AS16" i="13"/>
  <c r="AS30" i="13"/>
  <c r="AS15" i="13"/>
  <c r="AS21" i="13"/>
  <c r="AS28" i="13"/>
  <c r="AS14" i="13"/>
  <c r="AS19" i="13"/>
  <c r="AS27" i="13"/>
  <c r="AS20" i="13"/>
  <c r="AS13" i="13"/>
  <c r="AW8" i="13" l="1"/>
  <c r="BT8" i="13"/>
  <c r="CK8" i="13"/>
  <c r="BI2" i="31"/>
  <c r="AS8" i="13"/>
  <c r="CB8" i="13"/>
  <c r="CI8" i="13"/>
  <c r="BZ8" i="13"/>
  <c r="CX8" i="13" l="1"/>
  <c r="AT2" i="31"/>
  <c r="CJ8" i="13"/>
  <c r="CF8" i="13"/>
  <c r="AW2" i="31"/>
  <c r="AN2" i="31"/>
  <c r="AZ2" i="31"/>
  <c r="ED8" i="13"/>
  <c r="CE8" i="13"/>
  <c r="CH8" i="13"/>
  <c r="CC8" i="13"/>
  <c r="CD8" i="13"/>
  <c r="CA8" i="13"/>
  <c r="CG8" i="13"/>
  <c r="AL2" i="31" l="1"/>
  <c r="CS8" i="13"/>
  <c r="CT8" i="13"/>
  <c r="CR8" i="13"/>
  <c r="CQ8" i="13"/>
  <c r="CW8" i="13"/>
  <c r="CU8" i="13"/>
  <c r="CV8" i="13"/>
  <c r="AQ2" i="31"/>
  <c r="AX8" i="13"/>
  <c r="BA2" i="31"/>
  <c r="BD2" i="31"/>
  <c r="BB2" i="31"/>
  <c r="BE2" i="31"/>
  <c r="AV2" i="31"/>
  <c r="AV8" i="13"/>
  <c r="AU8" i="13"/>
  <c r="AS2" i="31"/>
  <c r="AM2" i="31"/>
  <c r="AP2" i="31"/>
  <c r="AY2" i="31"/>
  <c r="DI8" i="13"/>
  <c r="CC36" i="3"/>
  <c r="BW36" i="3"/>
  <c r="BE14" i="31" l="1"/>
  <c r="AX20" i="13"/>
  <c r="BB14" i="31"/>
  <c r="AR22" i="13"/>
  <c r="EJ36" i="3" l="1"/>
  <c r="EI36" i="3"/>
  <c r="DR36" i="3"/>
  <c r="DQ36" i="3"/>
  <c r="CZ36" i="3"/>
  <c r="CY36" i="3"/>
  <c r="CB36" i="3"/>
  <c r="CA36" i="3"/>
  <c r="BU36" i="3"/>
  <c r="BV36" i="3"/>
  <c r="AV20" i="13" l="1"/>
  <c r="AS14" i="31"/>
  <c r="EB20" i="13"/>
  <c r="AY14" i="31"/>
  <c r="EC20" i="13"/>
  <c r="AP14" i="31"/>
  <c r="DQ8" i="13"/>
  <c r="L37" i="10"/>
  <c r="M37" i="10" s="1"/>
  <c r="L32" i="10"/>
  <c r="M32" i="10" s="1"/>
  <c r="L31" i="10"/>
  <c r="M31" i="10" s="1"/>
  <c r="L30" i="10"/>
  <c r="M30" i="10" s="1"/>
  <c r="L29" i="10"/>
  <c r="M29" i="10" s="1"/>
  <c r="L28" i="10"/>
  <c r="M28" i="10" s="1"/>
  <c r="L20" i="10"/>
  <c r="M20" i="10" s="1"/>
  <c r="L19" i="10"/>
  <c r="M19" i="10" s="1"/>
  <c r="L18" i="10"/>
  <c r="M18" i="10" s="1"/>
  <c r="L17" i="10"/>
  <c r="M17" i="10" s="1"/>
  <c r="L16" i="10"/>
  <c r="M16" i="10" s="1"/>
  <c r="L15" i="10"/>
  <c r="M15" i="10" s="1"/>
  <c r="L14" i="10"/>
  <c r="M14" i="10" s="1"/>
  <c r="L13" i="10"/>
  <c r="M13" i="10" s="1"/>
  <c r="L12" i="10"/>
  <c r="M12" i="10" s="1"/>
  <c r="L11" i="10"/>
  <c r="M11" i="10" s="1"/>
  <c r="L10" i="10"/>
  <c r="M10" i="10" s="1"/>
  <c r="L9" i="10"/>
  <c r="M9" i="10" s="1"/>
  <c r="L8" i="10"/>
  <c r="M8" i="10" s="1"/>
  <c r="L7" i="10"/>
  <c r="M7" i="10" s="1"/>
  <c r="J37" i="10"/>
  <c r="J32" i="10"/>
  <c r="J31" i="10"/>
  <c r="J30" i="10"/>
  <c r="J29" i="10"/>
  <c r="J28" i="10"/>
  <c r="J20" i="10"/>
  <c r="J19" i="10"/>
  <c r="J18" i="10"/>
  <c r="I17" i="10"/>
  <c r="J17" i="10" s="1"/>
  <c r="I16" i="10"/>
  <c r="J16" i="10" s="1"/>
  <c r="I15" i="10"/>
  <c r="J15" i="10" s="1"/>
  <c r="I14" i="10"/>
  <c r="J14" i="10" s="1"/>
  <c r="I13" i="10"/>
  <c r="J13" i="10" s="1"/>
  <c r="I12" i="10"/>
  <c r="J12" i="10" s="1"/>
  <c r="I11" i="10"/>
  <c r="J11" i="10" s="1"/>
  <c r="I10" i="10"/>
  <c r="J10" i="10" s="1"/>
  <c r="I9" i="10"/>
  <c r="J9" i="10" s="1"/>
  <c r="I8" i="10"/>
  <c r="J8" i="10" s="1"/>
  <c r="I7" i="10"/>
  <c r="J7" i="10" s="1"/>
  <c r="F7" i="10"/>
  <c r="G7" i="10" s="1"/>
  <c r="F8" i="10"/>
  <c r="G8" i="10" s="1"/>
  <c r="F37" i="10"/>
  <c r="G37" i="10" s="1"/>
  <c r="D37" i="10"/>
  <c r="D32" i="10"/>
  <c r="D31" i="10"/>
  <c r="D30" i="10"/>
  <c r="D29" i="10"/>
  <c r="D28" i="10"/>
  <c r="D20" i="10"/>
  <c r="D19" i="10"/>
  <c r="D18" i="10"/>
  <c r="D17" i="10"/>
  <c r="C16" i="10"/>
  <c r="D16" i="10" s="1"/>
  <c r="C15" i="10"/>
  <c r="D15" i="10" s="1"/>
  <c r="C14" i="10"/>
  <c r="D14" i="10" s="1"/>
  <c r="C13" i="10"/>
  <c r="D13" i="10" s="1"/>
  <c r="C12" i="10"/>
  <c r="D12" i="10" s="1"/>
  <c r="C11" i="10"/>
  <c r="D11" i="10" s="1"/>
  <c r="C10" i="10"/>
  <c r="D10" i="10" s="1"/>
  <c r="C9" i="10"/>
  <c r="D9" i="10" s="1"/>
  <c r="C8" i="10"/>
  <c r="D8" i="10" s="1"/>
  <c r="C7" i="10"/>
  <c r="D7" i="10" s="1"/>
  <c r="AY36" i="3"/>
  <c r="AX36" i="3"/>
  <c r="AM36" i="3"/>
  <c r="AL36" i="3"/>
  <c r="AR2" i="31" l="1"/>
  <c r="AU2" i="31"/>
  <c r="AP20" i="13"/>
  <c r="BQ14" i="31" s="1"/>
  <c r="BO14" i="31"/>
  <c r="EB8" i="13"/>
  <c r="AX2" i="31"/>
  <c r="BN14" i="31" l="1"/>
  <c r="AR20" i="13"/>
  <c r="DM8" i="13" l="1"/>
  <c r="AR11" i="13"/>
  <c r="DO8" i="13" l="1"/>
  <c r="EC8" i="13" l="1"/>
  <c r="AO2" i="31"/>
  <c r="DK8" i="13"/>
  <c r="E10" i="27" l="1"/>
  <c r="G10" i="27" l="1"/>
  <c r="F10" i="27"/>
  <c r="I49" i="23" l="1"/>
  <c r="H49" i="23"/>
  <c r="M47" i="23" l="1"/>
  <c r="M54" i="23" s="1"/>
  <c r="AR9" i="13" l="1"/>
  <c r="AR10" i="13" l="1"/>
  <c r="BH8" i="13" l="1"/>
  <c r="CN8" i="13" l="1"/>
  <c r="CM8" i="13"/>
  <c r="CP8" i="13"/>
  <c r="CO8" i="13"/>
  <c r="G4" i="13"/>
  <c r="DP8" i="13" l="1"/>
  <c r="DU8" i="13" s="1"/>
  <c r="EA8" i="13" s="1"/>
  <c r="DB8" i="13" s="1"/>
  <c r="DN8" i="13"/>
  <c r="DT8" i="13" s="1"/>
  <c r="DZ8" i="13" s="1"/>
  <c r="DJ8" i="13"/>
  <c r="DR8" i="13" s="1"/>
  <c r="DX8" i="13" s="1"/>
  <c r="CY8" i="13" s="1"/>
  <c r="AO8" i="13" s="1"/>
  <c r="DL8" i="13"/>
  <c r="DS8" i="13" s="1"/>
  <c r="DY8" i="13" s="1"/>
  <c r="CZ8" i="13" s="1"/>
  <c r="AN8" i="13" s="1"/>
  <c r="DA8" i="13" l="1"/>
  <c r="AP8" i="13" s="1"/>
  <c r="F14" i="27"/>
  <c r="F12" i="27"/>
  <c r="E12" i="27"/>
  <c r="F13" i="27"/>
  <c r="AO3" i="13"/>
  <c r="F11" i="27"/>
  <c r="BO2" i="31"/>
  <c r="E14" i="27" l="1"/>
  <c r="E11" i="27"/>
  <c r="AN3" i="13"/>
  <c r="BN2" i="31"/>
  <c r="E13" i="27"/>
  <c r="G14" i="27"/>
  <c r="G12" i="27"/>
  <c r="G13" i="27"/>
  <c r="F5" i="27"/>
  <c r="AP3" i="13"/>
  <c r="F37" i="23" s="1"/>
  <c r="K112" i="23" s="1"/>
  <c r="L112" i="23" s="1"/>
  <c r="M112" i="23" s="1"/>
  <c r="BQ2" i="31"/>
  <c r="AR8" i="13"/>
  <c r="AR3" i="13" s="1"/>
  <c r="AQ15" i="13" s="1"/>
  <c r="BR9" i="31" s="1"/>
  <c r="G11" i="27"/>
  <c r="G12" i="25"/>
  <c r="I12" i="25" s="1"/>
  <c r="F36" i="23"/>
  <c r="E5" i="27" l="1"/>
  <c r="C74" i="23"/>
  <c r="K109" i="23"/>
  <c r="L109" i="23" s="1"/>
  <c r="M109" i="23" s="1"/>
  <c r="K111" i="23"/>
  <c r="L111" i="23" s="1"/>
  <c r="M111" i="23" s="1"/>
  <c r="K108" i="23"/>
  <c r="L108" i="23" s="1"/>
  <c r="M108" i="23" s="1"/>
  <c r="K49" i="23"/>
  <c r="K110" i="23"/>
  <c r="L110" i="23" s="1"/>
  <c r="M110" i="23" s="1"/>
  <c r="G5" i="27"/>
  <c r="AQ23" i="13"/>
  <c r="BR17" i="31" s="1"/>
  <c r="AQ12" i="13"/>
  <c r="BR6" i="31" s="1"/>
  <c r="AQ19" i="13"/>
  <c r="BR13" i="31" s="1"/>
  <c r="AQ18" i="13"/>
  <c r="BR12" i="31" s="1"/>
  <c r="AQ16" i="13"/>
  <c r="BR10" i="31" s="1"/>
  <c r="AQ32" i="13"/>
  <c r="BR26" i="31" s="1"/>
  <c r="AQ26" i="13"/>
  <c r="BR20" i="31" s="1"/>
  <c r="AQ27" i="13"/>
  <c r="BR21" i="31" s="1"/>
  <c r="AQ14" i="13"/>
  <c r="AQ11" i="13"/>
  <c r="AQ9" i="13"/>
  <c r="H15" i="27" s="1"/>
  <c r="C11" i="23"/>
  <c r="AQ24" i="13"/>
  <c r="BR18" i="31" s="1"/>
  <c r="AQ17" i="13"/>
  <c r="BR11" i="31" s="1"/>
  <c r="AQ30" i="13"/>
  <c r="BR24" i="31" s="1"/>
  <c r="AQ22" i="13"/>
  <c r="BR16" i="31" s="1"/>
  <c r="AQ20" i="13"/>
  <c r="BR14" i="31" s="1"/>
  <c r="AQ28" i="13"/>
  <c r="BR22" i="31" s="1"/>
  <c r="AQ31" i="13"/>
  <c r="BR25" i="31" s="1"/>
  <c r="AQ25" i="13"/>
  <c r="BR19" i="31" s="1"/>
  <c r="AQ13" i="13"/>
  <c r="BR7" i="31" s="1"/>
  <c r="AQ21" i="13"/>
  <c r="BR15" i="31" s="1"/>
  <c r="AQ29" i="13"/>
  <c r="BR23" i="31" s="1"/>
  <c r="AQ8" i="13"/>
  <c r="AQ10" i="13"/>
  <c r="BR4" i="31" s="1"/>
  <c r="J49" i="23"/>
  <c r="C73" i="23"/>
  <c r="F38" i="23"/>
  <c r="F10" i="23"/>
  <c r="H14" i="27" l="1"/>
  <c r="M48" i="23"/>
  <c r="M53" i="23" s="1"/>
  <c r="BR3" i="31"/>
  <c r="H10" i="27"/>
  <c r="H12" i="27"/>
  <c r="BR5" i="31"/>
  <c r="H13" i="27"/>
  <c r="BR8" i="31"/>
  <c r="H11" i="27"/>
  <c r="BR2" i="31"/>
  <c r="AQ3" i="13"/>
  <c r="C75" i="23"/>
  <c r="F42" i="23"/>
  <c r="F41" i="23" s="1"/>
  <c r="I79" i="23"/>
  <c r="M49" i="23" l="1"/>
  <c r="M52" i="23" s="1"/>
  <c r="H5" i="27"/>
  <c r="C37" i="23"/>
  <c r="AT3" i="13"/>
  <c r="C12" i="23"/>
  <c r="I82" i="23"/>
  <c r="I81" i="23"/>
  <c r="I80" i="23"/>
  <c r="C38" i="23" l="1"/>
  <c r="J81" i="23" s="1"/>
  <c r="F75" i="23" s="1"/>
  <c r="C77" i="23"/>
  <c r="C41" i="23" l="1"/>
  <c r="C42" i="23" s="1"/>
  <c r="J80" i="23"/>
  <c r="F74" i="23" s="1"/>
  <c r="J82" i="23"/>
  <c r="F76" i="23" s="1"/>
  <c r="F11" i="23"/>
  <c r="J79" i="23"/>
  <c r="F73" i="2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tc={8CB36471-6E21-4825-BC07-5AA2DB65C93B}</author>
    <author>tc={295F9B4C-FB53-4A7A-B902-05903F76CAF7}</author>
    <author>tc={A2972304-64DB-4FEE-AEB2-804C0D3E2705}</author>
    <author>tc={DF169D09-01D9-4682-8533-86F1C6D50501}</author>
    <author>tc={F90C15EE-E12D-4257-9872-E36FF675D969}</author>
    <author>tc={219A73C2-5891-4531-B625-3F46D1EAFB3A}</author>
    <author>tc={C309D57C-A648-4C3F-BDA7-B9CF5B4FE4C0}</author>
  </authors>
  <commentList>
    <comment ref="H3" authorId="0" shapeId="0" xr:uid="{8CB36471-6E21-4825-BC07-5AA2DB65C93B}">
      <text>
        <t>[Threaded comment]
Your version of Excel allows you to read this threaded comment; however, any edits to it will get removed if the file is opened in a newer version of Excel. Learn more: https://go.microsoft.com/fwlink/?linkid=870924
Comment:
    Lessthan45kbtuh updated to Lessthan65kbtuh (&lt; 5.4 tons) to match CPS guidebook</t>
      </text>
    </comment>
    <comment ref="L3" authorId="1" shapeId="0" xr:uid="{295F9B4C-FB53-4A7A-B902-05903F76CAF7}">
      <text>
        <t xml:space="preserve">[Threaded comment]
Your version of Excel allows you to read this threaded comment; however, any edits to it will get removed if the file is opened in a newer version of Excel. Learn more: https://go.microsoft.com/fwlink/?linkid=870924
Comment:
    Full-Load is &gt;=3.75 and &gt;5.4
Part-Load is &gt;5.4
Reply:
    Just a correction. Full-Load is &gt;=3.75 and &lt;5.4
Part-Load is &lt;5.4
</t>
      </text>
    </comment>
    <comment ref="P3" authorId="2" shapeId="0" xr:uid="{A2972304-64DB-4FEE-AEB2-804C0D3E2705}">
      <text>
        <t>[Threaded comment]
Your version of Excel allows you to read this threaded comment; however, any edits to it will get removed if the file is opened in a newer version of Excel. Learn more: https://go.microsoft.com/fwlink/?linkid=870924
Comment:
    Capacity range no longer used. Packaged ACs only split by Less Than 65k btu/5.4tons</t>
      </text>
    </comment>
    <comment ref="BR3" authorId="3" shapeId="0" xr:uid="{DF169D09-01D9-4682-8533-86F1C6D50501}">
      <text>
        <t>[Threaded comment]
Your version of Excel allows you to read this threaded comment; however, any edits to it will get removed if the file is opened in a newer version of Excel. Learn more: https://go.microsoft.com/fwlink/?linkid=870924
Comment:
    Updated from Lessthan45kbtuh to Lessthan65kbtuh to match CPS guidebook categories</t>
      </text>
    </comment>
    <comment ref="BX3" authorId="4" shapeId="0" xr:uid="{F90C15EE-E12D-4257-9872-E36FF675D969}">
      <text>
        <t>[Threaded comment]
Your version of Excel allows you to read this threaded comment; however, any edits to it will get removed if the file is opened in a newer version of Excel. Learn more: https://go.microsoft.com/fwlink/?linkid=870924
Comment:
    Updated from Lessthan45kbtuh to Lessthan65kbtuh to match CPS guidebook categories</t>
      </text>
    </comment>
    <comment ref="CD3" authorId="5" shapeId="0" xr:uid="{219A73C2-5891-4531-B625-3F46D1EAFB3A}">
      <text>
        <t>[Threaded comment]
Your version of Excel allows you to read this threaded comment; however, any edits to it will get removed if the file is opened in a newer version of Excel. Learn more: https://go.microsoft.com/fwlink/?linkid=870924
Comment:
    Range not used in 2026 CPS Guidebook</t>
      </text>
    </comment>
    <comment ref="CJ3" authorId="6" shapeId="0" xr:uid="{C309D57C-A648-4C3F-BDA7-B9CF5B4FE4C0}">
      <text>
        <t>[Threaded comment]
Your version of Excel allows you to read this threaded comment; however, any edits to it will get removed if the file is opened in a newer version of Excel. Learn more: https://go.microsoft.com/fwlink/?linkid=870924
Comment:
    Range not used in 2026 CPS Guidebook</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Alex Butterwick</author>
  </authors>
  <commentList>
    <comment ref="S3" authorId="0" shapeId="0" xr:uid="{1DC5F960-A853-4756-95C3-C4A97A7AFA9B}">
      <text>
        <r>
          <rPr>
            <b/>
            <sz val="9"/>
            <color indexed="81"/>
            <rFont val="Tahoma"/>
            <family val="2"/>
          </rPr>
          <t>Alex Butterwick:</t>
        </r>
        <r>
          <rPr>
            <sz val="9"/>
            <color indexed="81"/>
            <rFont val="Tahoma"/>
            <family val="2"/>
          </rPr>
          <t xml:space="preserve">
Using 107 hours to match "Other" if no value is provided.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<sst xmlns="http://schemas.openxmlformats.org/spreadsheetml/2006/main" count="4483" uniqueCount="1559">
  <si>
    <t>Applicable Standard</t>
  </si>
  <si>
    <t>ASHRAE 90.1--1989</t>
  </si>
  <si>
    <t xml:space="preserve">ASHRAE 90.1--1989 (as of Jan. 1, 1992) </t>
  </si>
  <si>
    <t>ASHRAE 90.1--1999</t>
  </si>
  <si>
    <t>ASHRAE 90.1--1999 (as of 10/29/2001)</t>
  </si>
  <si>
    <t>ASHRAE 90.1--2004</t>
  </si>
  <si>
    <t>SEER</t>
  </si>
  <si>
    <t>EER</t>
  </si>
  <si>
    <t>HSPF</t>
  </si>
  <si>
    <t>RUL</t>
  </si>
  <si>
    <t>New Construction</t>
  </si>
  <si>
    <t>BASELINE EFFICIENCIES</t>
  </si>
  <si>
    <r>
      <t>Federal Standard/ASHRAE 90.1--2004</t>
    </r>
    <r>
      <rPr>
        <vertAlign val="superscript"/>
        <sz val="11"/>
        <color theme="1"/>
        <rFont val="Calibri"/>
        <family val="2"/>
        <scheme val="minor"/>
      </rPr>
      <t xml:space="preserve"> </t>
    </r>
    <r>
      <rPr>
        <sz val="11"/>
        <color theme="1"/>
        <rFont val="Calibri"/>
        <family val="2"/>
        <scheme val="minor"/>
      </rPr>
      <t>(as of 1/23/2006)</t>
    </r>
    <r>
      <rPr>
        <vertAlign val="superscript"/>
        <sz val="11"/>
        <color theme="1"/>
        <rFont val="Calibri"/>
        <family val="2"/>
        <scheme val="minor"/>
      </rPr>
      <t>b</t>
    </r>
  </si>
  <si>
    <r>
      <t>Federal Standard/ASHRAE 90.1-2007</t>
    </r>
    <r>
      <rPr>
        <vertAlign val="superscript"/>
        <sz val="11"/>
        <color theme="1"/>
        <rFont val="Calibri"/>
        <family val="2"/>
        <scheme val="minor"/>
      </rPr>
      <t xml:space="preserve"> </t>
    </r>
    <r>
      <rPr>
        <sz val="11"/>
        <color theme="1"/>
        <rFont val="Calibri"/>
        <family val="2"/>
        <scheme val="minor"/>
      </rPr>
      <t>(as of 1/23/2006)</t>
    </r>
    <r>
      <rPr>
        <vertAlign val="superscript"/>
        <sz val="11"/>
        <color theme="1"/>
        <rFont val="Calibri"/>
        <family val="2"/>
        <scheme val="minor"/>
      </rPr>
      <t>b</t>
    </r>
  </si>
  <si>
    <r>
      <t>Federal Standard/ASHRAE 90.1-2007</t>
    </r>
    <r>
      <rPr>
        <vertAlign val="superscript"/>
        <sz val="11"/>
        <color theme="1"/>
        <rFont val="Calibri"/>
        <family val="2"/>
        <scheme val="minor"/>
      </rPr>
      <t xml:space="preserve"> </t>
    </r>
    <r>
      <rPr>
        <sz val="11"/>
        <color theme="1"/>
        <rFont val="Calibri"/>
        <family val="2"/>
        <scheme val="minor"/>
      </rPr>
      <t>(as of 1/1/2010)</t>
    </r>
    <r>
      <rPr>
        <vertAlign val="superscript"/>
        <sz val="11"/>
        <color theme="1"/>
        <rFont val="Calibri"/>
        <family val="2"/>
        <scheme val="minor"/>
      </rPr>
      <t>b</t>
    </r>
  </si>
  <si>
    <t>ASHRAE 90.1--2010</t>
  </si>
  <si>
    <t>Federal Standard/ASHRAE 90.1-2007 (as of 1/1/2010)</t>
  </si>
  <si>
    <r>
      <t>Federal Standard/ASHRAE 90.1-2007</t>
    </r>
    <r>
      <rPr>
        <vertAlign val="superscript"/>
        <sz val="11"/>
        <color theme="1"/>
        <rFont val="Calibri"/>
        <family val="2"/>
        <scheme val="minor"/>
      </rPr>
      <t/>
    </r>
  </si>
  <si>
    <r>
      <t>Federal Standard/ASHRAE 90.1-2007</t>
    </r>
    <r>
      <rPr>
        <vertAlign val="superscript"/>
        <sz val="11"/>
        <color theme="1"/>
        <rFont val="Calibri"/>
        <family val="2"/>
        <scheme val="minor"/>
      </rPr>
      <t xml:space="preserve"> </t>
    </r>
  </si>
  <si>
    <r>
      <t>Federal Standard/ASHRAE 90.1--2004</t>
    </r>
    <r>
      <rPr>
        <vertAlign val="superscript"/>
        <sz val="11"/>
        <color theme="1"/>
        <rFont val="Calibri"/>
        <family val="2"/>
        <scheme val="minor"/>
      </rPr>
      <t/>
    </r>
  </si>
  <si>
    <t xml:space="preserve">ASHRAE 90.1--1999 </t>
  </si>
  <si>
    <t>&gt;= 135,000, &lt; 240,000 Btu/h</t>
  </si>
  <si>
    <t>&gt;=65,000, &lt; 135,000 Btu/h</t>
  </si>
  <si>
    <t>&lt; 65,000 Btu/h</t>
  </si>
  <si>
    <t>SPVHP - Cooling Mode</t>
  </si>
  <si>
    <t>SPVAC - Cooling Mode</t>
  </si>
  <si>
    <t>Manuf. Year</t>
  </si>
  <si>
    <t>Efficiency Levels for Single Package Vertical Air Conditioners &amp; Heat Pumps</t>
  </si>
  <si>
    <t>COP</t>
  </si>
  <si>
    <t>IPLV</t>
  </si>
  <si>
    <t>Rating</t>
  </si>
  <si>
    <t>* EER - 95db/75wb outdoor air</t>
  </si>
  <si>
    <t>** COP - 47db/43wb outdoor air</t>
  </si>
  <si>
    <t>Full</t>
  </si>
  <si>
    <t>Early Retirement</t>
  </si>
  <si>
    <t>Building Type</t>
  </si>
  <si>
    <t>Unitary Air Conditioner</t>
  </si>
  <si>
    <t>Religious Worship</t>
  </si>
  <si>
    <t>EUL</t>
  </si>
  <si>
    <t>Air Cooled Chiller</t>
  </si>
  <si>
    <t>Water Cooled Chiller</t>
  </si>
  <si>
    <t>Centrifugal</t>
  </si>
  <si>
    <t>Unitary Heat Pump</t>
  </si>
  <si>
    <t>Room Air Conditioner</t>
  </si>
  <si>
    <t>Room Heat Pump</t>
  </si>
  <si>
    <t>Full Load</t>
  </si>
  <si>
    <t>Part Load</t>
  </si>
  <si>
    <t>kW/ton</t>
  </si>
  <si>
    <t>Part</t>
  </si>
  <si>
    <t>Single Package Vertical Air Conditioner</t>
  </si>
  <si>
    <t>Single Package Vertical Heat Pump</t>
  </si>
  <si>
    <t>DXAirCooledSinglePackageVerticalAirConditionerLessthan5.42tons</t>
  </si>
  <si>
    <t>DXAirCooledSinglePackageVerticalAirConditioner5.42to11.25tons</t>
  </si>
  <si>
    <t>DXAirCooledSinglePackageVerticalAirConditioner11.25to20tons</t>
  </si>
  <si>
    <t>DXAirCooledSinglePackageVerticalHeatPumpCoolingLessthan5.42tons</t>
  </si>
  <si>
    <t>DXAirCooledSinglePackageVerticalHeatPumpCooling5.42to11.25tons</t>
  </si>
  <si>
    <t>DXAirCooledSinglePackageVerticalHeatPumpCooling11.25to20tons</t>
  </si>
  <si>
    <t>AirCooledChiller</t>
  </si>
  <si>
    <t>WaterCooledChiller</t>
  </si>
  <si>
    <t>PackagedTerminalAirConditioner</t>
  </si>
  <si>
    <t>UnitaryAirConditioner</t>
  </si>
  <si>
    <t>UnitaryHeatPump</t>
  </si>
  <si>
    <t>RoomAirConditioner</t>
  </si>
  <si>
    <t>SinglePackageVerticalAirConditioner</t>
  </si>
  <si>
    <t>SinglePackageVerticalHeatPump</t>
  </si>
  <si>
    <t>EFLH Heating</t>
  </si>
  <si>
    <t>EFLH Cooling</t>
  </si>
  <si>
    <t>BaselineRow</t>
  </si>
  <si>
    <t>EUL (yrs)</t>
  </si>
  <si>
    <t>Equipment Age (yrs)</t>
  </si>
  <si>
    <t>kW</t>
  </si>
  <si>
    <t>kWh</t>
  </si>
  <si>
    <t>Project Type</t>
  </si>
  <si>
    <t>PackagedTerminalHeatPump</t>
  </si>
  <si>
    <t>Cooling Capacity</t>
  </si>
  <si>
    <t>Heating</t>
  </si>
  <si>
    <t>Summer Peak CF</t>
  </si>
  <si>
    <t>Summer Demand Savings (kW)</t>
  </si>
  <si>
    <t>Heating Energy Savings (kWh)</t>
  </si>
  <si>
    <t>Cooling Energy Savings (kWh)</t>
  </si>
  <si>
    <t>Unknown</t>
  </si>
  <si>
    <t>Year to Use</t>
  </si>
  <si>
    <t>Replace on Burnout</t>
  </si>
  <si>
    <t>Add conditional formatting to [Heating Type] to go dark when [Equipment Type 2] is Heat Pump to not ask for heating type</t>
  </si>
  <si>
    <t>Removed "Heat Pump" from dropdown options on [Heating Type]</t>
  </si>
  <si>
    <t>Add conditional formatting for existing equipment information to go dark when [Project Type] = "New Construction"</t>
  </si>
  <si>
    <t>Moved [Cooling Capacity] from Existing Equipment section to New Equipment section</t>
  </si>
  <si>
    <t xml:space="preserve">Added "Unknown" option to [Existing Equipment Manuf. Year] </t>
  </si>
  <si>
    <t>Added [Year to Use] that is hidden and pulls from [Existing Equipment Manuf. Year] unless it is "Unknown", then uses "1996"</t>
  </si>
  <si>
    <t>Changed [Heating Efficiency] dropdown options to "HSPF" and "COP"</t>
  </si>
  <si>
    <t>Changed formula for [Heating] under Efficiency Requirements section to account for "HSPF" and "COP" options</t>
  </si>
  <si>
    <t>Changed ROB baseline, New Construction baseline, and Min. Efficiency lookups to reference New Equipment Type instead of Existing Equipment Type</t>
  </si>
  <si>
    <t>Added [Eligible?] fields to both heating and cooling sections to ensure New Equipment is greater than Min. Efficiency</t>
  </si>
  <si>
    <t>Removed all locks to Column C that previously caused all other columns to refer back to 1st equipment type</t>
  </si>
  <si>
    <t>Changed ends of [Heating Baseline] fields to when [Heating Type] = "Electric Resistance", to use 3.516 kW/ton</t>
  </si>
  <si>
    <t>Added 41 and 42 to list</t>
  </si>
  <si>
    <t>Added option for "All Systems 5.42 to 11.25 tons" to dropdown when Unitary Heat Pump</t>
  </si>
  <si>
    <t>Changed "ROB" to "Replace on Burnout" for [Application Type] dropdown</t>
  </si>
  <si>
    <t>Changed [New Heating (kW/ton)] to account for new Heating Efficiency options of "HSPF" and "COP"</t>
  </si>
  <si>
    <t>Changed HSPF to kW/ton conversion from 3.516 to 12</t>
  </si>
  <si>
    <t>State</t>
  </si>
  <si>
    <t>County</t>
  </si>
  <si>
    <t>MS</t>
  </si>
  <si>
    <t>LA</t>
  </si>
  <si>
    <t>Zone</t>
  </si>
  <si>
    <t>Benton</t>
  </si>
  <si>
    <t>Calhoun</t>
  </si>
  <si>
    <t>Carroll</t>
  </si>
  <si>
    <t>Caddo</t>
  </si>
  <si>
    <t>Choctaw</t>
  </si>
  <si>
    <t>Caldwell</t>
  </si>
  <si>
    <t>Cameron</t>
  </si>
  <si>
    <t>Clay</t>
  </si>
  <si>
    <t>Franklin</t>
  </si>
  <si>
    <t>Greene</t>
  </si>
  <si>
    <t>Grant</t>
  </si>
  <si>
    <t>Harrison</t>
  </si>
  <si>
    <t>Jackson</t>
  </si>
  <si>
    <t>Jefferson</t>
  </si>
  <si>
    <t>Lafayette</t>
  </si>
  <si>
    <t>La Salle</t>
  </si>
  <si>
    <t>Jasper</t>
  </si>
  <si>
    <t>Lincoln</t>
  </si>
  <si>
    <t>Madison</t>
  </si>
  <si>
    <t>Jones</t>
  </si>
  <si>
    <t>Lamar</t>
  </si>
  <si>
    <t>Ouachita</t>
  </si>
  <si>
    <t>Lawrence</t>
  </si>
  <si>
    <t>Lee</t>
  </si>
  <si>
    <t>Red River</t>
  </si>
  <si>
    <t>Sabine</t>
  </si>
  <si>
    <t>Marion</t>
  </si>
  <si>
    <t>Marshall</t>
  </si>
  <si>
    <t>Monroe</t>
  </si>
  <si>
    <t>Montgomery</t>
  </si>
  <si>
    <t>Newton</t>
  </si>
  <si>
    <t>Panola</t>
  </si>
  <si>
    <t>Perry</t>
  </si>
  <si>
    <t>Union</t>
  </si>
  <si>
    <t>Pike</t>
  </si>
  <si>
    <t>Pontotoc</t>
  </si>
  <si>
    <t>Washington</t>
  </si>
  <si>
    <t>Scott</t>
  </si>
  <si>
    <t>Smith</t>
  </si>
  <si>
    <t>Stone</t>
  </si>
  <si>
    <t>Lodging</t>
  </si>
  <si>
    <t>add btuh option</t>
  </si>
  <si>
    <t>darken fields not needed for entry</t>
  </si>
  <si>
    <t>add utilities</t>
  </si>
  <si>
    <t>Serial #</t>
  </si>
  <si>
    <t>AHRI Reference #</t>
  </si>
  <si>
    <t>Minimum Efficiency Required</t>
  </si>
  <si>
    <t>Utilities</t>
  </si>
  <si>
    <t>CLECO</t>
  </si>
  <si>
    <t>Entergy Louisiana</t>
  </si>
  <si>
    <t>Entergy Gulf States</t>
  </si>
  <si>
    <t>Mississippi Power</t>
  </si>
  <si>
    <t>SWEPCO Louisiana</t>
  </si>
  <si>
    <t>Manuf Year</t>
  </si>
  <si>
    <t>add incentive</t>
  </si>
  <si>
    <t>EFLH - adjust for south zone</t>
  </si>
  <si>
    <t>fix PTAC calcs</t>
  </si>
  <si>
    <t># of Units</t>
  </si>
  <si>
    <t>added # of units</t>
  </si>
  <si>
    <t>added incentive caps</t>
  </si>
  <si>
    <t>added "Check Min Eff" message when minimum efficiency requirements not met</t>
  </si>
  <si>
    <t>All</t>
  </si>
  <si>
    <t>add geothermal</t>
  </si>
  <si>
    <r>
      <t>Federal Standard/ASHRAE 90.1-2004</t>
    </r>
    <r>
      <rPr>
        <vertAlign val="superscript"/>
        <sz val="11"/>
        <color theme="1"/>
        <rFont val="Calibri"/>
        <family val="2"/>
        <scheme val="minor"/>
      </rPr>
      <t xml:space="preserve"> </t>
    </r>
    <r>
      <rPr>
        <sz val="11"/>
        <color theme="1"/>
        <rFont val="Calibri"/>
        <family val="2"/>
        <scheme val="minor"/>
      </rPr>
      <t>(as of 1/23/2006)</t>
    </r>
    <r>
      <rPr>
        <vertAlign val="superscript"/>
        <sz val="11"/>
        <color theme="1"/>
        <rFont val="Calibri"/>
        <family val="2"/>
        <scheme val="minor"/>
      </rPr>
      <t>b</t>
    </r>
  </si>
  <si>
    <t>Entergy New Orleans</t>
  </si>
  <si>
    <t>Changed EFLH to IECC 2003 zones to match ADM's LA EFLH</t>
  </si>
  <si>
    <t>MS Zone 7 still using AR TRM Zone 7</t>
  </si>
  <si>
    <t>MS Zone 6 changed to use AR TRM Zone 6</t>
  </si>
  <si>
    <t>Updated baseline for &lt;65k Btuh to 14 SEER 8.2 HSPF</t>
  </si>
  <si>
    <t>Updated RUL tables to match AR TRM</t>
  </si>
  <si>
    <t>Changed baseline efficiencies for chillers to match AR TRM</t>
  </si>
  <si>
    <t>Fixed part load baseline lookup for early retirement</t>
  </si>
  <si>
    <t>Assessed by:</t>
  </si>
  <si>
    <t>Project Name:</t>
  </si>
  <si>
    <t>Project Sponsor:</t>
  </si>
  <si>
    <t>State:</t>
  </si>
  <si>
    <t>Large C&amp;I</t>
  </si>
  <si>
    <t>Contact Name:</t>
  </si>
  <si>
    <t>Contact Phone:</t>
  </si>
  <si>
    <t>Contact Email:</t>
  </si>
  <si>
    <t>Account Number:</t>
  </si>
  <si>
    <t>Name on Account:</t>
  </si>
  <si>
    <t>Project Site Address:</t>
  </si>
  <si>
    <t>City:</t>
  </si>
  <si>
    <t>ZIP Code:</t>
  </si>
  <si>
    <t>$/kWh</t>
  </si>
  <si>
    <t>$/kW</t>
  </si>
  <si>
    <t>Project Cost:</t>
  </si>
  <si>
    <t>Utility Rates:</t>
  </si>
  <si>
    <t>Project Decription:</t>
  </si>
  <si>
    <t>Energy Efficiency Assessment</t>
  </si>
  <si>
    <t>Est. Project Cost</t>
  </si>
  <si>
    <t>Est. Annual Energy Savings</t>
  </si>
  <si>
    <t>Est. Utility Incentive</t>
  </si>
  <si>
    <t>Simple Payback (years)</t>
  </si>
  <si>
    <t>The undersigned person hereby represents that he/she has received L.O.I. &amp; Project Application and is authorized to commit the Customer to participate in the Program.</t>
  </si>
  <si>
    <t>Incentive to be Paid to:</t>
  </si>
  <si>
    <t>Authorized Signature</t>
  </si>
  <si>
    <t>Printed Name</t>
  </si>
  <si>
    <t>Date</t>
  </si>
  <si>
    <t>Rate:</t>
  </si>
  <si>
    <t>Building Type:</t>
  </si>
  <si>
    <t>Project Description:</t>
  </si>
  <si>
    <t>Estimated Project Cost</t>
  </si>
  <si>
    <t>Energy Savings</t>
  </si>
  <si>
    <t>Est. kW Savings</t>
  </si>
  <si>
    <t>Est. kWh Savings</t>
  </si>
  <si>
    <t>Est. Project Cost after Incentive</t>
  </si>
  <si>
    <t>Payback &amp; Return on Investment</t>
  </si>
  <si>
    <t>Cost of Waiting</t>
  </si>
  <si>
    <t>Monthly</t>
  </si>
  <si>
    <t>Return on Investment</t>
  </si>
  <si>
    <t>Annually</t>
  </si>
  <si>
    <t>Existing</t>
  </si>
  <si>
    <t>Post-Retrofit</t>
  </si>
  <si>
    <t>Retrofit</t>
  </si>
  <si>
    <t>Y-Axis</t>
  </si>
  <si>
    <t>X-Axis</t>
  </si>
  <si>
    <t>ANNUAL COST
OF WAITING!</t>
  </si>
  <si>
    <t>Annual Cost
after Retrofit</t>
  </si>
  <si>
    <t>Annual Cost
before Retrofit</t>
  </si>
  <si>
    <t>Totals:</t>
  </si>
  <si>
    <t>Est. Demand Reduction (kW) :</t>
  </si>
  <si>
    <t>Est. Total Year 1 Cash Flow :</t>
  </si>
  <si>
    <t>Est. Energy Reduction (kWh) :</t>
  </si>
  <si>
    <t>Est. Total Year 5 Cash Flow :</t>
  </si>
  <si>
    <t>Est. Annual $ Savings :</t>
  </si>
  <si>
    <t>Est. Total Year 10 Cash Flow :</t>
  </si>
  <si>
    <t>Est. Project Cost :</t>
  </si>
  <si>
    <t>Est. Total Year 15 Cash Flow :</t>
  </si>
  <si>
    <t>Est. Program Incentive :</t>
  </si>
  <si>
    <t>Year 1</t>
  </si>
  <si>
    <t>Year 5</t>
  </si>
  <si>
    <t>Year 10</t>
  </si>
  <si>
    <t>Year 15</t>
  </si>
  <si>
    <t>Annual Carbon Impact</t>
  </si>
  <si>
    <t>Your energy efficiency opportunity's estimated energy savings is roughly equivalent to the annual carbon dioxide emissions reduction of:</t>
  </si>
  <si>
    <t>CO2 Equivalency Type</t>
  </si>
  <si>
    <t>CO2 (Tons)</t>
  </si>
  <si>
    <t>Equivalency</t>
  </si>
  <si>
    <t xml:space="preserve">Acres of Forest               </t>
  </si>
  <si>
    <t xml:space="preserve">Recyc Tons of Waste               </t>
  </si>
  <si>
    <t xml:space="preserve">Passenger Vehicles               </t>
  </si>
  <si>
    <t xml:space="preserve">Homes Worth of Elec               </t>
  </si>
  <si>
    <t xml:space="preserve">Tanker Trucks of Gas               </t>
  </si>
  <si>
    <t>NOTES</t>
  </si>
  <si>
    <t>Total # of Units</t>
  </si>
  <si>
    <t>CLEAResult makes no warranties, whether expressed or implied, nor assumes any legal liability or responsibility for the accuracy, completeness, or usefulness of the contents of this Energy Efficiency Assessment. These calculations are based on the rates displayed below. These calculations are not exact and should only be used to formulate a decision on whether or not to pursue an HVAC retrofit.</t>
  </si>
  <si>
    <t>CLEAResult makes this tool available to participants in our Energy Efficiency programs. CLEAResult makes no warranties, whether expressed or implied, nor assumes any legal liability or responsibility for the accuracy, completeness, or usefulness of the contents of this Energy Efficiency Assessment. These calculations are based on the rates displayed above. These calculations are not exact and should only be used to formulate a decision on whether or not to pursue an HVAC retrofit.</t>
  </si>
  <si>
    <t>OK</t>
  </si>
  <si>
    <t>Adair</t>
  </si>
  <si>
    <t>Alfalfa</t>
  </si>
  <si>
    <t>Atoka</t>
  </si>
  <si>
    <t>Beaver</t>
  </si>
  <si>
    <t>Beckham</t>
  </si>
  <si>
    <t>Blaine</t>
  </si>
  <si>
    <t>Bryan</t>
  </si>
  <si>
    <t>Canadian</t>
  </si>
  <si>
    <t>Cherokee</t>
  </si>
  <si>
    <t>Cimarron</t>
  </si>
  <si>
    <t>Cleveland</t>
  </si>
  <si>
    <t>Coal</t>
  </si>
  <si>
    <t>Comanche</t>
  </si>
  <si>
    <t>Cotton</t>
  </si>
  <si>
    <t>Craig</t>
  </si>
  <si>
    <t>Creek</t>
  </si>
  <si>
    <t>Cluster</t>
  </si>
  <si>
    <t>Deleware</t>
  </si>
  <si>
    <t>Dewey</t>
  </si>
  <si>
    <t>Ellis</t>
  </si>
  <si>
    <t>Garfield</t>
  </si>
  <si>
    <t>Garvin</t>
  </si>
  <si>
    <t>Grady</t>
  </si>
  <si>
    <t>Greer</t>
  </si>
  <si>
    <t>Harmon</t>
  </si>
  <si>
    <t>Harper</t>
  </si>
  <si>
    <t>Haskell</t>
  </si>
  <si>
    <t>Hughes</t>
  </si>
  <si>
    <t>Kay</t>
  </si>
  <si>
    <t>Kingfisher</t>
  </si>
  <si>
    <t>Kiowa</t>
  </si>
  <si>
    <t>Latimer</t>
  </si>
  <si>
    <t>Le Flore</t>
  </si>
  <si>
    <t>Logan</t>
  </si>
  <si>
    <t>Major</t>
  </si>
  <si>
    <t>Mayes</t>
  </si>
  <si>
    <t>McClain</t>
  </si>
  <si>
    <t>McCurtain</t>
  </si>
  <si>
    <t>McIntosh</t>
  </si>
  <si>
    <t>Murray</t>
  </si>
  <si>
    <t>Muskogee</t>
  </si>
  <si>
    <t>Noble</t>
  </si>
  <si>
    <t>Nowata</t>
  </si>
  <si>
    <t>Okfuskee</t>
  </si>
  <si>
    <t>Oklahoma</t>
  </si>
  <si>
    <t>Okmulgee</t>
  </si>
  <si>
    <t>Osage</t>
  </si>
  <si>
    <t>Ottawa</t>
  </si>
  <si>
    <t>Pawnee</t>
  </si>
  <si>
    <t>Payne</t>
  </si>
  <si>
    <t>Pittsburg</t>
  </si>
  <si>
    <t>Pottawatomie</t>
  </si>
  <si>
    <t>Roger Mills</t>
  </si>
  <si>
    <t>Rogers</t>
  </si>
  <si>
    <t>Seminole</t>
  </si>
  <si>
    <t>Sequoyah</t>
  </si>
  <si>
    <t>Stephens</t>
  </si>
  <si>
    <t>Texas</t>
  </si>
  <si>
    <t>Tillman</t>
  </si>
  <si>
    <t>Tulsa</t>
  </si>
  <si>
    <t>Wagoner</t>
  </si>
  <si>
    <t>Washita</t>
  </si>
  <si>
    <t>Woods</t>
  </si>
  <si>
    <t>Woodward</t>
  </si>
  <si>
    <t>Carter</t>
  </si>
  <si>
    <t>Johnston</t>
  </si>
  <si>
    <t>Love</t>
  </si>
  <si>
    <t>Pushmataha</t>
  </si>
  <si>
    <t>Schools &amp; Govt</t>
  </si>
  <si>
    <t>Other</t>
  </si>
  <si>
    <t>Standard Size</t>
  </si>
  <si>
    <t>Non Standard Size</t>
  </si>
  <si>
    <t>Fixed Packaged Terminal efficiency calculation</t>
  </si>
  <si>
    <t>Added Non Standard PTAC and PTHP</t>
  </si>
  <si>
    <t>Added OK counties and OG&amp;E</t>
  </si>
  <si>
    <t>Removed Early Retirement option as it does not pass TRC</t>
  </si>
  <si>
    <t>Added heating type when DX Unitary AC</t>
  </si>
  <si>
    <t>Units</t>
  </si>
  <si>
    <t>VRF Air Conditioner</t>
  </si>
  <si>
    <t>VRF Heat Pump</t>
  </si>
  <si>
    <t>SEERadj</t>
  </si>
  <si>
    <t>IEERadj</t>
  </si>
  <si>
    <t>Added VRF</t>
  </si>
  <si>
    <t>kbtuh to use</t>
  </si>
  <si>
    <t>Split</t>
  </si>
  <si>
    <t>Packaged</t>
  </si>
  <si>
    <t>Without Heat Recovery</t>
  </si>
  <si>
    <t>With Heat Recovery</t>
  </si>
  <si>
    <t>without Heat Recovery</t>
  </si>
  <si>
    <t>with Heat Recovery</t>
  </si>
  <si>
    <t>Lessthan150tons</t>
  </si>
  <si>
    <t>Lessthan75tons</t>
  </si>
  <si>
    <t>Lessthan65kbtuh</t>
  </si>
  <si>
    <t>Lessthan20kbtuh</t>
  </si>
  <si>
    <t>Lessthan14kbtuh</t>
  </si>
  <si>
    <t>Lessthan17kbtuh</t>
  </si>
  <si>
    <t>Greaterthan150tons</t>
  </si>
  <si>
    <t>Greaterthan600tons</t>
  </si>
  <si>
    <t>Greaterthan760kbtuh</t>
  </si>
  <si>
    <t>Greaterthan240kbtuh</t>
  </si>
  <si>
    <t>Greaterthan20kbtuh</t>
  </si>
  <si>
    <t>Greaterthan14kbtuh</t>
  </si>
  <si>
    <t>150to300tons</t>
  </si>
  <si>
    <t>75to150tons</t>
  </si>
  <si>
    <t>65to135kbtuh</t>
  </si>
  <si>
    <t>135to240kbtuh</t>
  </si>
  <si>
    <t>240to760kbtuh</t>
  </si>
  <si>
    <t>8to14kbtuh</t>
  </si>
  <si>
    <t>14to20kbtuh</t>
  </si>
  <si>
    <t>Tons</t>
  </si>
  <si>
    <t>kBtuh</t>
  </si>
  <si>
    <t>WaterCooledChillerCentrifugal</t>
  </si>
  <si>
    <t>ElecResorNone</t>
  </si>
  <si>
    <t>VRFAirConditioner</t>
  </si>
  <si>
    <t>VRFHeatPump</t>
  </si>
  <si>
    <t>StandardSize</t>
  </si>
  <si>
    <t>Packaged Terminal Air Conditioner</t>
  </si>
  <si>
    <t>Packaged Terminal Heat Pump</t>
  </si>
  <si>
    <t>NonStandardSize</t>
  </si>
  <si>
    <t>Abs Cap</t>
  </si>
  <si>
    <t>% Cap</t>
  </si>
  <si>
    <t>Lookup without capacity</t>
  </si>
  <si>
    <t>Lookup with capacity</t>
  </si>
  <si>
    <t>Removed repetition of entering size when selecting type</t>
  </si>
  <si>
    <t>VRFHeatPumpwithHeatRecovery</t>
  </si>
  <si>
    <t>VRFHeatPumpwithoutHeatRecovery</t>
  </si>
  <si>
    <t>Both with and without heat recovery</t>
  </si>
  <si>
    <t>Fixed kWh heat</t>
  </si>
  <si>
    <t>capacity range</t>
  </si>
  <si>
    <t>Removed non-relevant efficiencies (e.g. PL for PTAC, Room)</t>
  </si>
  <si>
    <t>Equipment Type</t>
  </si>
  <si>
    <t>Equipment Detail</t>
  </si>
  <si>
    <t>&lt;65k baseline to 13</t>
  </si>
  <si>
    <t>Heating Section Type</t>
  </si>
  <si>
    <t>Removed Geothermal since they are not in AR TRM</t>
  </si>
  <si>
    <t>UnitaryAirConditionerHeatingType</t>
  </si>
  <si>
    <t>Elec Res or None</t>
  </si>
  <si>
    <t>Fixed AC&gt;760k</t>
  </si>
  <si>
    <t>Required AC in order to have heating type options</t>
  </si>
  <si>
    <t>Allowed EER to be selected for Room Heat Pump</t>
  </si>
  <si>
    <t>Swapped state and utility selection</t>
  </si>
  <si>
    <t>Oklahoma Gas &amp; Electric</t>
  </si>
  <si>
    <t>EGSL</t>
  </si>
  <si>
    <t>ELL</t>
  </si>
  <si>
    <t>ENO</t>
  </si>
  <si>
    <t>MSP</t>
  </si>
  <si>
    <t>SWEPCOLA</t>
  </si>
  <si>
    <t>Limited Program selection based on utility</t>
  </si>
  <si>
    <t>Fixed VRF &lt;65k calc</t>
  </si>
  <si>
    <t>Est. Utility Incentive Rate/kWh</t>
  </si>
  <si>
    <t>Added language to Report to warn of incentive caps</t>
  </si>
  <si>
    <t>Est. Utility Incentive*</t>
  </si>
  <si>
    <t>UnitaryHeatPumpHeatingType</t>
  </si>
  <si>
    <t>Added Heating type when DX Unitary HP</t>
  </si>
  <si>
    <t>Converted all 3.516 to 12/3.412 for consistency in rounding with the AR TRM</t>
  </si>
  <si>
    <t>AR</t>
  </si>
  <si>
    <t>added OG&amp;E AR</t>
  </si>
  <si>
    <t>OGEOK</t>
  </si>
  <si>
    <t>OGEAR</t>
  </si>
  <si>
    <t>Arkansas</t>
  </si>
  <si>
    <t>Ashley</t>
  </si>
  <si>
    <t>Baxter</t>
  </si>
  <si>
    <t>Boone</t>
  </si>
  <si>
    <t>Bradley</t>
  </si>
  <si>
    <t>Chicot</t>
  </si>
  <si>
    <t>Clark</t>
  </si>
  <si>
    <t>Cleburne</t>
  </si>
  <si>
    <t>Columbia</t>
  </si>
  <si>
    <t>Conway</t>
  </si>
  <si>
    <t>Craighead</t>
  </si>
  <si>
    <t>Crawford</t>
  </si>
  <si>
    <t>Crittenden</t>
  </si>
  <si>
    <t>Cross</t>
  </si>
  <si>
    <t>Dallas</t>
  </si>
  <si>
    <t>Desha</t>
  </si>
  <si>
    <t>Drew</t>
  </si>
  <si>
    <t>Faulkner</t>
  </si>
  <si>
    <t>Fulton</t>
  </si>
  <si>
    <t>Garland</t>
  </si>
  <si>
    <t>Hempstead</t>
  </si>
  <si>
    <t>Hot Spring</t>
  </si>
  <si>
    <t>Howard</t>
  </si>
  <si>
    <t>Independence</t>
  </si>
  <si>
    <t>Izard</t>
  </si>
  <si>
    <t>Johnson</t>
  </si>
  <si>
    <t>Little River</t>
  </si>
  <si>
    <t>Lonoke</t>
  </si>
  <si>
    <t>Miller</t>
  </si>
  <si>
    <t>Mississippi</t>
  </si>
  <si>
    <t>Nevada</t>
  </si>
  <si>
    <t>Phillips</t>
  </si>
  <si>
    <t>Poinsett</t>
  </si>
  <si>
    <t>Polk</t>
  </si>
  <si>
    <t>Pope</t>
  </si>
  <si>
    <t>Prairie</t>
  </si>
  <si>
    <t>Pulaski</t>
  </si>
  <si>
    <t>Randolph</t>
  </si>
  <si>
    <t>Saline</t>
  </si>
  <si>
    <t>Searcy</t>
  </si>
  <si>
    <t>Sebastian</t>
  </si>
  <si>
    <t>Sevier</t>
  </si>
  <si>
    <t>Sharp</t>
  </si>
  <si>
    <t>St. Francis</t>
  </si>
  <si>
    <t>Van Buren</t>
  </si>
  <si>
    <t>White</t>
  </si>
  <si>
    <t>Woodruff</t>
  </si>
  <si>
    <t>Yell</t>
  </si>
  <si>
    <t>Commercial Standard Offer Program</t>
  </si>
  <si>
    <t>OG&amp;E OK Schools &amp; Govt cap changed to 90%</t>
  </si>
  <si>
    <t>Fixed total sum on Inventory sheet</t>
  </si>
  <si>
    <t>Removed non-AR TRM measures from OK and AR</t>
  </si>
  <si>
    <t>Fixed incentive lookups and cap lookups</t>
  </si>
  <si>
    <t>TX</t>
  </si>
  <si>
    <t>CPS Energy</t>
  </si>
  <si>
    <t>CPS</t>
  </si>
  <si>
    <t>Early Retirement?</t>
  </si>
  <si>
    <t>ERNo</t>
  </si>
  <si>
    <t>ERYes</t>
  </si>
  <si>
    <t>Schools &amp; Institutions</t>
  </si>
  <si>
    <t>Anderson</t>
  </si>
  <si>
    <t>Andrews</t>
  </si>
  <si>
    <t>Angelina</t>
  </si>
  <si>
    <t>Aransas</t>
  </si>
  <si>
    <t>Archer</t>
  </si>
  <si>
    <t>Armstrong</t>
  </si>
  <si>
    <t>Atascosa</t>
  </si>
  <si>
    <t>Austin</t>
  </si>
  <si>
    <t>Bailey</t>
  </si>
  <si>
    <t>Bandera</t>
  </si>
  <si>
    <t>Bastrop</t>
  </si>
  <si>
    <t>Baylor</t>
  </si>
  <si>
    <t>Bee</t>
  </si>
  <si>
    <t>Bell</t>
  </si>
  <si>
    <t>Bexar</t>
  </si>
  <si>
    <t>Blanco</t>
  </si>
  <si>
    <t>Borden</t>
  </si>
  <si>
    <t>Bosque</t>
  </si>
  <si>
    <t>Bowie</t>
  </si>
  <si>
    <t>Brazoria</t>
  </si>
  <si>
    <t>Brazos</t>
  </si>
  <si>
    <t>Brewster</t>
  </si>
  <si>
    <t>Briscoe</t>
  </si>
  <si>
    <t>Brooks</t>
  </si>
  <si>
    <t>Brown</t>
  </si>
  <si>
    <t>Burleson</t>
  </si>
  <si>
    <t>Burnet</t>
  </si>
  <si>
    <t>Callahan</t>
  </si>
  <si>
    <t>Camp</t>
  </si>
  <si>
    <t>Carson</t>
  </si>
  <si>
    <t>Cass</t>
  </si>
  <si>
    <t>Castro</t>
  </si>
  <si>
    <t>Chambers</t>
  </si>
  <si>
    <t>Childress</t>
  </si>
  <si>
    <t>Cochran</t>
  </si>
  <si>
    <t>Coke</t>
  </si>
  <si>
    <t>Coleman</t>
  </si>
  <si>
    <t>Collin</t>
  </si>
  <si>
    <t>Collingsworth</t>
  </si>
  <si>
    <t>Colorado</t>
  </si>
  <si>
    <t>Comal</t>
  </si>
  <si>
    <t>Concho</t>
  </si>
  <si>
    <t>Cooke</t>
  </si>
  <si>
    <t>Coryell</t>
  </si>
  <si>
    <t>Cottle</t>
  </si>
  <si>
    <t>Crane</t>
  </si>
  <si>
    <t>Crockett</t>
  </si>
  <si>
    <t>Crosby</t>
  </si>
  <si>
    <t>Culberson</t>
  </si>
  <si>
    <t>Dallam</t>
  </si>
  <si>
    <t>Dawson</t>
  </si>
  <si>
    <t>De Witt</t>
  </si>
  <si>
    <t>Deaf Smith</t>
  </si>
  <si>
    <t>Delta</t>
  </si>
  <si>
    <t>Denton</t>
  </si>
  <si>
    <t>Dickens</t>
  </si>
  <si>
    <t>Dimmit</t>
  </si>
  <si>
    <t>Donley</t>
  </si>
  <si>
    <t>Duval</t>
  </si>
  <si>
    <t>Eastland</t>
  </si>
  <si>
    <t>Ector</t>
  </si>
  <si>
    <t>Edwards</t>
  </si>
  <si>
    <t>El Paso</t>
  </si>
  <si>
    <t>Erath</t>
  </si>
  <si>
    <t>Falls</t>
  </si>
  <si>
    <t>Fannin</t>
  </si>
  <si>
    <t>Fayette</t>
  </si>
  <si>
    <t>Fisher</t>
  </si>
  <si>
    <t>Floyd</t>
  </si>
  <si>
    <t>Foard</t>
  </si>
  <si>
    <t>Fort Bend</t>
  </si>
  <si>
    <t>Freestone</t>
  </si>
  <si>
    <t>Frio</t>
  </si>
  <si>
    <t>Gaines</t>
  </si>
  <si>
    <t>Galveston</t>
  </si>
  <si>
    <t>Garza</t>
  </si>
  <si>
    <t>Gillespie</t>
  </si>
  <si>
    <t>Glasscock</t>
  </si>
  <si>
    <t>Goliad</t>
  </si>
  <si>
    <t>Gonzales</t>
  </si>
  <si>
    <t>Gray</t>
  </si>
  <si>
    <t>Grayson</t>
  </si>
  <si>
    <t>Gregg</t>
  </si>
  <si>
    <t>Grimes</t>
  </si>
  <si>
    <t>Guadalupe</t>
  </si>
  <si>
    <t>Hale</t>
  </si>
  <si>
    <t>Hall</t>
  </si>
  <si>
    <t>Hamilton</t>
  </si>
  <si>
    <t>Hansford</t>
  </si>
  <si>
    <t>Hardeman</t>
  </si>
  <si>
    <t>Hardin</t>
  </si>
  <si>
    <t>Harris</t>
  </si>
  <si>
    <t>Hartley</t>
  </si>
  <si>
    <t>Hays</t>
  </si>
  <si>
    <t>Hemphill</t>
  </si>
  <si>
    <t>Henderson</t>
  </si>
  <si>
    <t>Hidalgo</t>
  </si>
  <si>
    <t>Hill</t>
  </si>
  <si>
    <t>Hockley</t>
  </si>
  <si>
    <t>Hood</t>
  </si>
  <si>
    <t>Hopkins</t>
  </si>
  <si>
    <t>Houston</t>
  </si>
  <si>
    <t>Hudspeth</t>
  </si>
  <si>
    <t>Hunt</t>
  </si>
  <si>
    <t>Hutchinson</t>
  </si>
  <si>
    <t>Irion</t>
  </si>
  <si>
    <t>Jack</t>
  </si>
  <si>
    <t>Jeff Davis</t>
  </si>
  <si>
    <t>Jim Hogg</t>
  </si>
  <si>
    <t>Jim Wells</t>
  </si>
  <si>
    <t>Karnes</t>
  </si>
  <si>
    <t>Kaufman</t>
  </si>
  <si>
    <t>Kendall</t>
  </si>
  <si>
    <t>Kenedy</t>
  </si>
  <si>
    <t>Kent</t>
  </si>
  <si>
    <t>Kerr</t>
  </si>
  <si>
    <t>Kimble</t>
  </si>
  <si>
    <t>King</t>
  </si>
  <si>
    <t>Kinney</t>
  </si>
  <si>
    <t>Kleberg</t>
  </si>
  <si>
    <t>Knox</t>
  </si>
  <si>
    <t>Lamb</t>
  </si>
  <si>
    <t>Lampasas</t>
  </si>
  <si>
    <t>Lavaca</t>
  </si>
  <si>
    <t>Leon</t>
  </si>
  <si>
    <t>Liberty</t>
  </si>
  <si>
    <t>Limestone</t>
  </si>
  <si>
    <t>Lipscomb</t>
  </si>
  <si>
    <t>Live Oak</t>
  </si>
  <si>
    <t>Llano</t>
  </si>
  <si>
    <t>Loving</t>
  </si>
  <si>
    <t>Lubbock</t>
  </si>
  <si>
    <t>Lynn</t>
  </si>
  <si>
    <t>Martin</t>
  </si>
  <si>
    <t>Mason</t>
  </si>
  <si>
    <t>Matagorda</t>
  </si>
  <si>
    <t>Maverick</t>
  </si>
  <si>
    <t>McCulloch</t>
  </si>
  <si>
    <t>McLennan</t>
  </si>
  <si>
    <t>McMullen</t>
  </si>
  <si>
    <t>Medina</t>
  </si>
  <si>
    <t>Menard</t>
  </si>
  <si>
    <t>Midland</t>
  </si>
  <si>
    <t>Milam</t>
  </si>
  <si>
    <t>Mills</t>
  </si>
  <si>
    <t>Mitchell</t>
  </si>
  <si>
    <t>Montague</t>
  </si>
  <si>
    <t>Moore</t>
  </si>
  <si>
    <t>Morris</t>
  </si>
  <si>
    <t>Motley</t>
  </si>
  <si>
    <t>N/A</t>
  </si>
  <si>
    <t>Nacogdoches</t>
  </si>
  <si>
    <t>Navarro</t>
  </si>
  <si>
    <t>Nolan</t>
  </si>
  <si>
    <t>Nueces</t>
  </si>
  <si>
    <t>Ochiltree</t>
  </si>
  <si>
    <t>Oldham</t>
  </si>
  <si>
    <t>Orange</t>
  </si>
  <si>
    <t>Palo Pinto</t>
  </si>
  <si>
    <t>Parker</t>
  </si>
  <si>
    <t>Parmer</t>
  </si>
  <si>
    <t>Pecos</t>
  </si>
  <si>
    <t>Potter</t>
  </si>
  <si>
    <t>Presidio</t>
  </si>
  <si>
    <t>Rains</t>
  </si>
  <si>
    <t>Randall</t>
  </si>
  <si>
    <t>Reagan</t>
  </si>
  <si>
    <t>Real</t>
  </si>
  <si>
    <t>Reeves</t>
  </si>
  <si>
    <t>Refugio</t>
  </si>
  <si>
    <t>Roberts</t>
  </si>
  <si>
    <t>Robertson</t>
  </si>
  <si>
    <t>Rockwall</t>
  </si>
  <si>
    <t>Runnels</t>
  </si>
  <si>
    <t>Rusk</t>
  </si>
  <si>
    <t>San Augustine</t>
  </si>
  <si>
    <t>San Jacinto</t>
  </si>
  <si>
    <t>San Patricio</t>
  </si>
  <si>
    <t>San Saba</t>
  </si>
  <si>
    <t>Schleicher</t>
  </si>
  <si>
    <t>Scurry</t>
  </si>
  <si>
    <t>Shackelford</t>
  </si>
  <si>
    <t>Shelby</t>
  </si>
  <si>
    <t>Sherman</t>
  </si>
  <si>
    <t>Somervell</t>
  </si>
  <si>
    <t>Starr</t>
  </si>
  <si>
    <t>Sterling</t>
  </si>
  <si>
    <t>Stonewall</t>
  </si>
  <si>
    <t>Sutton</t>
  </si>
  <si>
    <t>Swisher</t>
  </si>
  <si>
    <t>Tarrant</t>
  </si>
  <si>
    <t>Taylor</t>
  </si>
  <si>
    <t>Terrell</t>
  </si>
  <si>
    <t>Terry</t>
  </si>
  <si>
    <t>Throckmorton</t>
  </si>
  <si>
    <t>Titus</t>
  </si>
  <si>
    <t>Tom Green</t>
  </si>
  <si>
    <t>Travis</t>
  </si>
  <si>
    <t>Trinity</t>
  </si>
  <si>
    <t>Tyler</t>
  </si>
  <si>
    <t>Upshur</t>
  </si>
  <si>
    <t>Upton</t>
  </si>
  <si>
    <t>Uvalde</t>
  </si>
  <si>
    <t>Val Verde</t>
  </si>
  <si>
    <t>Van Zandt</t>
  </si>
  <si>
    <t>Victoria</t>
  </si>
  <si>
    <t>Walker</t>
  </si>
  <si>
    <t>Waller</t>
  </si>
  <si>
    <t>Ward</t>
  </si>
  <si>
    <t>Webb</t>
  </si>
  <si>
    <t>Wharton</t>
  </si>
  <si>
    <t>Wheeler</t>
  </si>
  <si>
    <t>Wichita</t>
  </si>
  <si>
    <t>Wilbarger</t>
  </si>
  <si>
    <t>Willacy</t>
  </si>
  <si>
    <t>Williamson</t>
  </si>
  <si>
    <t>Wilson</t>
  </si>
  <si>
    <t>Winkler</t>
  </si>
  <si>
    <t>Wise</t>
  </si>
  <si>
    <t>Wood</t>
  </si>
  <si>
    <t>Yoakum</t>
  </si>
  <si>
    <t>Young</t>
  </si>
  <si>
    <t>Zapata</t>
  </si>
  <si>
    <t>Zavala</t>
  </si>
  <si>
    <t>Nursing Home</t>
  </si>
  <si>
    <t>Public Assembly</t>
  </si>
  <si>
    <t>Service</t>
  </si>
  <si>
    <t>Warehouse</t>
  </si>
  <si>
    <t>Added CPS, EFLH tables, counties, programs, equipment type</t>
  </si>
  <si>
    <t>CFAir Cooled Chiller</t>
  </si>
  <si>
    <t>CFWater Cooled Chiller</t>
  </si>
  <si>
    <t>NCPAir Cooled Chiller</t>
  </si>
  <si>
    <t>NCPWater Cooled Chiller</t>
  </si>
  <si>
    <t>EFLHcAir Cooled Chiller</t>
  </si>
  <si>
    <t>EFLHcWater Cooled Chiller</t>
  </si>
  <si>
    <t>Peak kW</t>
  </si>
  <si>
    <t>NCP kW</t>
  </si>
  <si>
    <t>EFLHcDX</t>
  </si>
  <si>
    <t>EFLHhDX</t>
  </si>
  <si>
    <t>DX</t>
  </si>
  <si>
    <t>Pre capacity range</t>
  </si>
  <si>
    <t>New Eq type</t>
  </si>
  <si>
    <t>Pre Tons</t>
  </si>
  <si>
    <t>Pre lookup without capacity</t>
  </si>
  <si>
    <t>Pre lookup with capacity</t>
  </si>
  <si>
    <t>NCP Savings</t>
  </si>
  <si>
    <t>NCP factor</t>
  </si>
  <si>
    <t>CFDX</t>
  </si>
  <si>
    <t>NCPDX</t>
  </si>
  <si>
    <t>IEER</t>
  </si>
  <si>
    <t>added early retirement for CPS</t>
  </si>
  <si>
    <t>Pre ER Heat</t>
  </si>
  <si>
    <t>Pre NC  Heat</t>
  </si>
  <si>
    <t>TX EFLH Table - San Antonio</t>
  </si>
  <si>
    <t>ACkW</t>
  </si>
  <si>
    <t>ACkWh</t>
  </si>
  <si>
    <t>YearsST</t>
  </si>
  <si>
    <t>escalation</t>
  </si>
  <si>
    <t>discount</t>
  </si>
  <si>
    <t>NPV kWEUL</t>
  </si>
  <si>
    <t>NPV kWhEUL</t>
  </si>
  <si>
    <t>NPV kW s FT</t>
  </si>
  <si>
    <t>NPV kW s ST</t>
  </si>
  <si>
    <t>NPV NCP kW FT</t>
  </si>
  <si>
    <t>NPV NCP kW ST</t>
  </si>
  <si>
    <t>NPV kWh c FT</t>
  </si>
  <si>
    <t>NPV kWh c ST</t>
  </si>
  <si>
    <t>NPV kWh h FT</t>
  </si>
  <si>
    <t>NPV kWh h ST</t>
  </si>
  <si>
    <t>ER kW s</t>
  </si>
  <si>
    <t>ER kWh c</t>
  </si>
  <si>
    <t>ER kWh h</t>
  </si>
  <si>
    <t>ROB kW s</t>
  </si>
  <si>
    <t>ROB kWh c</t>
  </si>
  <si>
    <t>ROB kWh h</t>
  </si>
  <si>
    <t>NC kW s</t>
  </si>
  <si>
    <t>NC kWh c</t>
  </si>
  <si>
    <t>NC kWh h</t>
  </si>
  <si>
    <t>ER kW NCP</t>
  </si>
  <si>
    <t>ROB kW NCP</t>
  </si>
  <si>
    <t>NC kW NCP</t>
  </si>
  <si>
    <t>Savings</t>
  </si>
  <si>
    <t>kW s</t>
  </si>
  <si>
    <t>kW NCP</t>
  </si>
  <si>
    <t>kWh c</t>
  </si>
  <si>
    <t>kWh h</t>
  </si>
  <si>
    <t>NPV kW s Total</t>
  </si>
  <si>
    <t>NPV kw NCP Total</t>
  </si>
  <si>
    <t>NPV kWh c Total</t>
  </si>
  <si>
    <t>NPV kWh h total</t>
  </si>
  <si>
    <t>Efficiencies (kW/ton)</t>
  </si>
  <si>
    <t>New Full</t>
  </si>
  <si>
    <t>New Part</t>
  </si>
  <si>
    <t>New Heat</t>
  </si>
  <si>
    <t>Pre ER Full</t>
  </si>
  <si>
    <t>Pre ER Part</t>
  </si>
  <si>
    <t>Pre ROB Full</t>
  </si>
  <si>
    <t>Pre ROB Part</t>
  </si>
  <si>
    <t>Pre NC Full</t>
  </si>
  <si>
    <t>Pre NC Part</t>
  </si>
  <si>
    <t>Installed Equipment</t>
  </si>
  <si>
    <t>Removed Equipment</t>
  </si>
  <si>
    <t>$/NCP</t>
  </si>
  <si>
    <t>Non-Capped Incentive</t>
  </si>
  <si>
    <t>Incentive</t>
  </si>
  <si>
    <t>UnitaryHeatPumpSplit</t>
  </si>
  <si>
    <t>UnitaryHeatPumpPackaged</t>
  </si>
  <si>
    <t>ReplacementType</t>
  </si>
  <si>
    <t>ManufYear</t>
  </si>
  <si>
    <t>8to11kbtuh</t>
  </si>
  <si>
    <t>11to14kbtuh</t>
  </si>
  <si>
    <t>RoomAirConditionerCasementOnly</t>
  </si>
  <si>
    <t>Casement Only</t>
  </si>
  <si>
    <t>Casement Slider</t>
  </si>
  <si>
    <t>RoomAirConditionerCasementSlider</t>
  </si>
  <si>
    <t>CasementOnly</t>
  </si>
  <si>
    <t>CasementSlider</t>
  </si>
  <si>
    <t>Incentives</t>
  </si>
  <si>
    <t>Early retirement calculations</t>
  </si>
  <si>
    <t>Eq Type List</t>
  </si>
  <si>
    <t>Added Room AC casement only and casement sliders</t>
  </si>
  <si>
    <t>Incentive Paid to:</t>
  </si>
  <si>
    <t>Corrected economic inputs for CPS (discount rate, avoided costs, escalation)</t>
  </si>
  <si>
    <t>Added IECC 2015 for CPS</t>
  </si>
  <si>
    <t>300to400tons</t>
  </si>
  <si>
    <t>400to600tons</t>
  </si>
  <si>
    <t>Updated EFLH and CF and NCP for CPS</t>
  </si>
  <si>
    <t>Changed NCP savings calcs to use part-load instead of full-load efficiencies</t>
  </si>
  <si>
    <t>Changed EFLHh for CPS to Frontier values</t>
  </si>
  <si>
    <t>Changed CPS incentive caps</t>
  </si>
  <si>
    <t>Set EFLHh and PTAC coefficients for CPS</t>
  </si>
  <si>
    <t>Set all factors for PTACs to Frontier values</t>
  </si>
  <si>
    <t>Change NCP savings calcs back to using full-load</t>
  </si>
  <si>
    <t>Update EFLH, CF, and NCP to guidebook</t>
  </si>
  <si>
    <t>Small Business</t>
  </si>
  <si>
    <t>16.1.3</t>
  </si>
  <si>
    <t>Current kWh</t>
  </si>
  <si>
    <t>Current kW</t>
  </si>
  <si>
    <t>Fixed bug on Report sheet - existing kW and kWh use was wrong (H49:I49)</t>
  </si>
  <si>
    <t>300to600tons</t>
  </si>
  <si>
    <t>Added Path B chiller baselines</t>
  </si>
  <si>
    <t>Pre ROB Heat</t>
  </si>
  <si>
    <t>Chiller Baseline Path</t>
  </si>
  <si>
    <t>Divided split AC under 65k into 1 phase and 3 phase for TX/CPS</t>
  </si>
  <si>
    <t>Added new tier for 300-600 tons for WCC for IECC2015</t>
  </si>
  <si>
    <t>updated SWEPCO LA incentive cap to be based on kW</t>
  </si>
  <si>
    <t>PTRoom</t>
  </si>
  <si>
    <t>CFPTRoom</t>
  </si>
  <si>
    <t>NCPPTRoom</t>
  </si>
  <si>
    <t>EFLHcPTRoom</t>
  </si>
  <si>
    <t>EFLHhPTRoom</t>
  </si>
  <si>
    <t>Changed Room AC to use PTAC factors for CPS</t>
  </si>
  <si>
    <t>added "Redundant Chiller", CAF factor, and use part-load eff for kW if redundant</t>
  </si>
  <si>
    <t>HP of Condenser Water Pump</t>
  </si>
  <si>
    <t>HP of Cooling Tower Fan</t>
  </si>
  <si>
    <t>ER ACC to WCC adj</t>
  </si>
  <si>
    <t>Added small business programs for LAMS and CPS</t>
  </si>
  <si>
    <t>changed early retirement savings calcs to use existing capacity</t>
  </si>
  <si>
    <t>Heating Capacity</t>
  </si>
  <si>
    <t>Heating tons</t>
  </si>
  <si>
    <t>added heating capacity input and changed kWh heating to use it</t>
  </si>
  <si>
    <t>added adjustment for ACC to WCC early retirement measures to subtract cooling tower and pump</t>
  </si>
  <si>
    <t>17.1.1</t>
  </si>
  <si>
    <t>turned off screen updating in macro</t>
  </si>
  <si>
    <t>added OG&amp;E AR small biz</t>
  </si>
  <si>
    <t>added quantity for early retirement. Changed savings calcs to depend on it.</t>
  </si>
  <si>
    <t>Assumed Age</t>
  </si>
  <si>
    <t>Added assumed age of equipment if unknown</t>
  </si>
  <si>
    <t>ER delta cap</t>
  </si>
  <si>
    <t>Added check for capacity to be within 80% and 120% or pre capacity if early retirement</t>
  </si>
  <si>
    <t>PackagedTerminalAirConditionerStandardSize</t>
  </si>
  <si>
    <t>PackagedTerminalAirConditionerNonStandardSize</t>
  </si>
  <si>
    <t>PackagedTerminalHeatPumpStandardSize</t>
  </si>
  <si>
    <t>PackagedTerminalHeatPumpNonStandardSize</t>
  </si>
  <si>
    <t>moved EUL and RUL to Equipment Lookups</t>
  </si>
  <si>
    <t>Fixed data validation on equipment type</t>
  </si>
  <si>
    <t>New Eq Type for TX EFLH</t>
  </si>
  <si>
    <t>17.1.2</t>
  </si>
  <si>
    <t>Fixed issue of ER from AC to HP not giving heating savings</t>
  </si>
  <si>
    <t>Adam Groenhuzyen</t>
  </si>
  <si>
    <t>Added sheet progression</t>
  </si>
  <si>
    <t>Screw/Scroll/Reciprocating</t>
  </si>
  <si>
    <t>AirCooledChillerCentrifugal</t>
  </si>
  <si>
    <t>ScrewScrollReciprocating</t>
  </si>
  <si>
    <t>AirCooledChillerScrewScrollReciprocating</t>
  </si>
  <si>
    <t>WaterCooledChillerScrewScrollReciprocating</t>
  </si>
  <si>
    <t>17.2.1</t>
  </si>
  <si>
    <t>added equipment type for acch, centrifugal has different ML. Also combined reciprocating &amp; screw/scroll for wcch.</t>
  </si>
  <si>
    <t>Expanded to 25 rows</t>
  </si>
  <si>
    <t>changed efficiency unit lookup to depend on equipment type</t>
  </si>
  <si>
    <t>HVAC INSPECTION FORM</t>
  </si>
  <si>
    <t>Pre Inspection</t>
  </si>
  <si>
    <t>Post Inspection</t>
  </si>
  <si>
    <t>17.2.2</t>
  </si>
  <si>
    <t>updated OG&amp;E AR incentive rates</t>
  </si>
  <si>
    <t>17.2.3</t>
  </si>
  <si>
    <t>fixed lookup error for pre retrofit chillers</t>
  </si>
  <si>
    <t>17.2.4</t>
  </si>
  <si>
    <t xml:space="preserve">Serial #'s turn red if there are duplicates. Added macros to show/hide chiller-related columns and heating capacity columns unless there is a chiller or a heat pump, respectively, in the inventory. </t>
  </si>
  <si>
    <t/>
  </si>
  <si>
    <t>Total Quantity</t>
  </si>
  <si>
    <t>Total Non-Coinc kW</t>
  </si>
  <si>
    <t>Total Peak kW</t>
  </si>
  <si>
    <t>Total kWh</t>
  </si>
  <si>
    <t>Total Incentive</t>
  </si>
  <si>
    <t>Quantity</t>
  </si>
  <si>
    <t>Non-Coinc kW</t>
  </si>
  <si>
    <t>Version:</t>
  </si>
  <si>
    <t>Chiller Air Cooled - Centrifugal</t>
  </si>
  <si>
    <t>Chiller Air Cooled - Screw/Scroll/Reciprocating</t>
  </si>
  <si>
    <t>Chiller Water Cooled - Centrifugal</t>
  </si>
  <si>
    <t>Chiller Water Cooled - Screw/Scroll/Reciprocating</t>
  </si>
  <si>
    <t>Room AC/HP</t>
  </si>
  <si>
    <t>18.0.0</t>
  </si>
  <si>
    <t>Added Summary tab</t>
  </si>
  <si>
    <t>Fixed error where room AC's/PTACs were not showing demand savings</t>
  </si>
  <si>
    <t>Project:</t>
  </si>
  <si>
    <t>Updated OK/AR EFLH's for AR TRM 7</t>
  </si>
  <si>
    <t>Principal Building Activity</t>
  </si>
  <si>
    <t>Definition</t>
  </si>
  <si>
    <t>Education</t>
  </si>
  <si>
    <t>College</t>
  </si>
  <si>
    <t>Buildings used for academic or technical classroom instruction, such as elementary, middle, or high schools, and classroom buildings on college or university campuses. Buildings on education campuses for which the main use is not classroom are included in the category relating to their use. For example, administration buildings are part of "Office," dormitories are "Lodging," and libraries are "Public Assembly."</t>
  </si>
  <si>
    <t>1) College or University</t>
  </si>
  <si>
    <t>2) Career or Vocational Training</t>
  </si>
  <si>
    <t>3) Adult Education</t>
  </si>
  <si>
    <t>Primary School</t>
  </si>
  <si>
    <t>2) Preschool or Daycare</t>
  </si>
  <si>
    <t>Secondary School</t>
  </si>
  <si>
    <t>1) High School</t>
  </si>
  <si>
    <t>2) Religious Education</t>
  </si>
  <si>
    <t>Food Sales</t>
  </si>
  <si>
    <t>Convenience</t>
  </si>
  <si>
    <t>Buildings used for retail or wholesale of food.</t>
  </si>
  <si>
    <t>1) Gas Station with a Convenience Store</t>
  </si>
  <si>
    <t>Supermarket</t>
  </si>
  <si>
    <t>2) Convenience Store</t>
  </si>
  <si>
    <t>Food Service</t>
  </si>
  <si>
    <t>Full-Service Restaurant</t>
  </si>
  <si>
    <t>Buildings used for preparation and sale of food and beverages for consumption.</t>
  </si>
  <si>
    <t>1) Restaurant or Cafeteria</t>
  </si>
  <si>
    <t>Quick-Service Restaurant</t>
  </si>
  <si>
    <t>1) Fast Food</t>
  </si>
  <si>
    <t>Healthcare</t>
  </si>
  <si>
    <t>Hospital</t>
  </si>
  <si>
    <t>Buildings used as diagnostic and treatment facilities for inpatient care.</t>
  </si>
  <si>
    <t>1) Hospital</t>
  </si>
  <si>
    <t>2) Inpatient Rehabilitation</t>
  </si>
  <si>
    <t>Outpatient Healthcare</t>
  </si>
  <si>
    <t>Buildings used as diagnostic and treatment facilities for outpatient care. Medical offices are included here if they use any type of diagnostic medical equipment (if they do not, they are categorized as an office building).</t>
  </si>
  <si>
    <t>1) Medical Office</t>
  </si>
  <si>
    <t>2) Clinic or Outpatient Health Care</t>
  </si>
  <si>
    <t>3) Veterinarian</t>
  </si>
  <si>
    <t>Large Multifamily</t>
  </si>
  <si>
    <t>Midrise Apartment</t>
  </si>
  <si>
    <t>Buildings containing multifamily dwelling units, having multiple stories, and equipped with elevators.</t>
  </si>
  <si>
    <t>No sub-categories collected.</t>
  </si>
  <si>
    <t>Large Hotel</t>
  </si>
  <si>
    <t>Buildings used to offer multiple accommodations for short-term or long-term residents, including skilled nursing and other residential care buildings.</t>
  </si>
  <si>
    <t>1) Motel or Inn</t>
  </si>
  <si>
    <t>2) Hotel</t>
  </si>
  <si>
    <t>3) Dormitory, Fraternity, or Sorority</t>
  </si>
  <si>
    <t>4) Retirement Home, Nursing Home, Assisted Living, or other Residential Care</t>
  </si>
  <si>
    <t>5) Convent or Monastery</t>
  </si>
  <si>
    <t>Small Hotel/Motel</t>
  </si>
  <si>
    <t>Mercantile</t>
  </si>
  <si>
    <t>Stand-Alone Retail</t>
  </si>
  <si>
    <t>Buildings used for the sale and display of goods other than food.</t>
  </si>
  <si>
    <t>1) Retail Store</t>
  </si>
  <si>
    <t>2) Beer, Wine, or Liquor Store</t>
  </si>
  <si>
    <t>3) Rental Center</t>
  </si>
  <si>
    <t>4) Dealership or Showroom for Vehicles or Boats</t>
  </si>
  <si>
    <t>5) Studio or Gallery</t>
  </si>
  <si>
    <t>Strip Mall</t>
  </si>
  <si>
    <t>Shopping malls comprised of multiple connected establishments.</t>
  </si>
  <si>
    <t>1) Strip Shopping Center</t>
  </si>
  <si>
    <t>2) Enclosed Malls</t>
  </si>
  <si>
    <t>Office</t>
  </si>
  <si>
    <t>Large Office</t>
  </si>
  <si>
    <t>Buildings used for general office space, professional office, or administrative offices. Medical offices are included here if they do not use any type of diagnostic medical equipment (if they do, they are categorized as an outpatient health care building).</t>
  </si>
  <si>
    <t>1) Administrative or Professional Office</t>
  </si>
  <si>
    <t>2) Government Office</t>
  </si>
  <si>
    <t>3) Mixed-Use Office</t>
  </si>
  <si>
    <t>4) Bank or Other Financial Institution</t>
  </si>
  <si>
    <t>5) Medical Office</t>
  </si>
  <si>
    <t>6) Sales Office</t>
  </si>
  <si>
    <t>7) Contractor’s Office (e.g. Construction, Plumbing, HVAC)</t>
  </si>
  <si>
    <t>8) Non-Profit or Social Services</t>
  </si>
  <si>
    <t>9) Research and Development</t>
  </si>
  <si>
    <t>10) City Hall or City Center</t>
  </si>
  <si>
    <t>11) Religious Office</t>
  </si>
  <si>
    <t>12) Call Center</t>
  </si>
  <si>
    <t>Medium Office</t>
  </si>
  <si>
    <t>Small Office</t>
  </si>
  <si>
    <t xml:space="preserve">Public Assembly </t>
  </si>
  <si>
    <t>Buildings in which people gather for social or recreational activities, whether in private or non-private meeting halls.</t>
  </si>
  <si>
    <t>1) Social or Meeting (e.g. Community Center, Lodge, Meeting Hall, Convention Center, Senior Center)</t>
  </si>
  <si>
    <t>2) Recreation (e.g. Gymnasium, Health Club, Bowling Alley, Ice Rink, Field House, Indoor Racquet Sports)</t>
  </si>
  <si>
    <t>3) Entertainment or Culture (e.g. Museum, Theater, Cinema, Sports Arena, Casino, Night Club)</t>
  </si>
  <si>
    <t>4) Library</t>
  </si>
  <si>
    <t>5) Funeral Home</t>
  </si>
  <si>
    <t>6) Student Activities Center</t>
  </si>
  <si>
    <t>7) Armory</t>
  </si>
  <si>
    <t>8) Exhibition Hall</t>
  </si>
  <si>
    <t>9) Broadcasting Studio</t>
  </si>
  <si>
    <t>10) Transportation Terminal</t>
  </si>
  <si>
    <t>Buildings in which people gather for religious activities, (such as chapels, churches, mosques, synagogues, and temples).</t>
  </si>
  <si>
    <t>For building types not explicitly listed</t>
  </si>
  <si>
    <t>Values used for Other are the most conservative values from the explicitly listed building types</t>
  </si>
  <si>
    <t>Buildings in which some type of service is provided, other than food service or retail sales of goods.</t>
  </si>
  <si>
    <t>1) Vehicle Service or Vehicle Repair Shop</t>
  </si>
  <si>
    <t>2) Vehicle Storage/Maintenance</t>
  </si>
  <si>
    <t>3) Repair Shop</t>
  </si>
  <si>
    <t>4) Dry Cleaner or Laundromat</t>
  </si>
  <si>
    <t>5) Post Office or Postal Center</t>
  </si>
  <si>
    <t>6) Car Wash</t>
  </si>
  <si>
    <t>7) Gas Station with no Convenience Store</t>
  </si>
  <si>
    <t>8) Photo Processing Shop</t>
  </si>
  <si>
    <t>9) Beauty Parlor or Barber Shop</t>
  </si>
  <si>
    <t>10) Tanning Salon</t>
  </si>
  <si>
    <t>11) Copy Center or Printing Shop</t>
  </si>
  <si>
    <t>12) Kennel</t>
  </si>
  <si>
    <t>Buildings used to store goods, manufactured products, merchandise, raw materials, or personal belongings (such as self-storage).</t>
  </si>
  <si>
    <t>1) Refrigerated Warehouse</t>
  </si>
  <si>
    <t>2) Non-refrigerated warehouse</t>
  </si>
  <si>
    <t>3) Distribution or Shipping Center</t>
  </si>
  <si>
    <t>Detailed Business Type Examples</t>
  </si>
  <si>
    <t>Not specified</t>
  </si>
  <si>
    <t>Average Floor Area (ft2)</t>
  </si>
  <si>
    <t>Average # of Floors</t>
  </si>
  <si>
    <t>Utility:</t>
  </si>
  <si>
    <t>Program:</t>
  </si>
  <si>
    <t>Cooling EFLH - 
Air-Cooled Chillers</t>
  </si>
  <si>
    <t>Cooling EFLH - 
Water-Cooled Chillers</t>
  </si>
  <si>
    <t>-</t>
  </si>
  <si>
    <t>Cooling EFLH - 
DX Systems</t>
  </si>
  <si>
    <t>18.0.1</t>
  </si>
  <si>
    <t>Updated ChangeLog to CR VersionLog format</t>
  </si>
  <si>
    <t>changed "minimum efficiency requirement" columns to show 3 decimals for kW/ton</t>
  </si>
  <si>
    <t>Adam Keeling</t>
  </si>
  <si>
    <t>Version Log</t>
  </si>
  <si>
    <t>Version</t>
  </si>
  <si>
    <t>Reason for Change</t>
  </si>
  <si>
    <t>Change Description</t>
  </si>
  <si>
    <t>18.1.0</t>
  </si>
  <si>
    <t>Added updates for 2018-2019 CPS Guidebook</t>
  </si>
  <si>
    <t>24-Hr Full Service</t>
  </si>
  <si>
    <t>24-Hr Quick Service</t>
  </si>
  <si>
    <t>18.1.1</t>
  </si>
  <si>
    <t>Fixed error with TX equipment lookups</t>
  </si>
  <si>
    <t>Updated efficienies for IECC2009 HP &lt;65kbtuh to match 2015+ values</t>
  </si>
  <si>
    <t>Changed Early Retirement calculations to use version year rather than current year (to prevent issues of savings changing when re-opening file in a future year)</t>
  </si>
  <si>
    <t>18.1.2</t>
  </si>
  <si>
    <t>Updated heating efficienies for IECC2009 HP &lt;65kbtuh to match 2015+ values</t>
  </si>
  <si>
    <t>PPI:</t>
  </si>
  <si>
    <t>Account #:</t>
  </si>
  <si>
    <t>Name on Account or Tax ID:</t>
  </si>
  <si>
    <t>PPI Hide Trigger:</t>
  </si>
  <si>
    <t>18.2.0</t>
  </si>
  <si>
    <t>Added HidePPI Macro</t>
  </si>
  <si>
    <t>Removed ER manuf years that are all ROB now.</t>
  </si>
  <si>
    <t>18.2.1</t>
  </si>
  <si>
    <t>previous version distributed with data in chiller-specific columns</t>
  </si>
  <si>
    <t>macro triggers</t>
  </si>
  <si>
    <t>19.0.0</t>
  </si>
  <si>
    <t>Updated ER calcs to use easily found &amp; adjustable program year input</t>
  </si>
  <si>
    <t xml:space="preserve">Added new columns for custom EFLH, CF, NCF, hidden by default. Must unlock workbook to unhide, keeping this capability only within engineering. </t>
  </si>
  <si>
    <t>Added "reset workbook" macro</t>
  </si>
  <si>
    <t>ARTRM3</t>
  </si>
  <si>
    <t>TRM</t>
  </si>
  <si>
    <t>19.1.0</t>
  </si>
  <si>
    <t>Changed minimum efficiencies from "IECC" references to "TRM" references. Updated minimum efficiencies for AR TRM 8.</t>
  </si>
  <si>
    <t>Full-Load</t>
  </si>
  <si>
    <t>Part-Load</t>
  </si>
  <si>
    <t>Cooling Efficiency</t>
  </si>
  <si>
    <t>Format</t>
  </si>
  <si>
    <t>High-Heating Efficiency</t>
  </si>
  <si>
    <t xml:space="preserve">Added macro button on Summary to show/hide custom weather info </t>
  </si>
  <si>
    <t>Moved things around in Inventory, eliminated one of the cooling efficiency dropdowns and simplified the other to kW/ton or EER options</t>
  </si>
  <si>
    <t>Added Path B compatibility for AR TRM 8. Updated lookups to default to Path A if a path is not indicated.</t>
  </si>
  <si>
    <t>For calculator to work correctly, please make sure all grey-background input cells are blank.</t>
  </si>
  <si>
    <t>Heat Pump?</t>
  </si>
  <si>
    <t>Chiller?</t>
  </si>
  <si>
    <t>Eqpmt Chg?</t>
  </si>
  <si>
    <t>UnitaryAirConditionerSplit</t>
  </si>
  <si>
    <t>UnitaryAirConditionerPackaged</t>
  </si>
  <si>
    <t>Data Center</t>
  </si>
  <si>
    <t>Computer Room AC</t>
  </si>
  <si>
    <t>ComputerRoomAC</t>
  </si>
  <si>
    <t>65to240kbtuh</t>
  </si>
  <si>
    <t>GreaterThan240kbtuh</t>
  </si>
  <si>
    <t>SCOP</t>
  </si>
  <si>
    <t>ton</t>
  </si>
  <si>
    <t>btuh</t>
  </si>
  <si>
    <t>Energy</t>
  </si>
  <si>
    <t>EFLH</t>
  </si>
  <si>
    <t>efficiency</t>
  </si>
  <si>
    <t>Capacity</t>
  </si>
  <si>
    <t>SCOP conversion test:</t>
  </si>
  <si>
    <t>ComputerRoomACAirCooledDownflow</t>
  </si>
  <si>
    <t>ComputerRoomACAirCooledUpflow</t>
  </si>
  <si>
    <t>ComputerRoomACWaterCooledDownflow</t>
  </si>
  <si>
    <t>ComputerRoomACWaterCooledUpflow</t>
  </si>
  <si>
    <t>ComputerRoomACWaterCooledwithFluidEconomizerDownflow</t>
  </si>
  <si>
    <t>ComputerRoomACWaterCooledwithFluidEconomizerUpflow</t>
  </si>
  <si>
    <t>ComputerRoomACGlycolCooledDownflow</t>
  </si>
  <si>
    <t>ComputerRoomACGlycolCooledUpflow</t>
  </si>
  <si>
    <t>Air Cooled / Downflow</t>
  </si>
  <si>
    <t>Air Cooled / Upflow</t>
  </si>
  <si>
    <t>Water Cooled / Downflow</t>
  </si>
  <si>
    <t>Water Cooled / Upflow</t>
  </si>
  <si>
    <t>Water Cooled with Fluid Economizer / Downflow</t>
  </si>
  <si>
    <t>Water Cooled with Fluid Economizer / Upflow</t>
  </si>
  <si>
    <t>Glycol Cooled / Downflow</t>
  </si>
  <si>
    <t>Glycol Cooled / Upflow</t>
  </si>
  <si>
    <t>AirCooledDownflow</t>
  </si>
  <si>
    <t>WaterCooledDownflow</t>
  </si>
  <si>
    <t>WaterCooledwithFluidEconomizerDownflow</t>
  </si>
  <si>
    <t>GlycolCooledDownflow</t>
  </si>
  <si>
    <t>AirCooledUpflow</t>
  </si>
  <si>
    <t>WaterCooledUpflow</t>
  </si>
  <si>
    <t>WaterCooledwithFluidEconomizerUpflow</t>
  </si>
  <si>
    <t>GlycolCooledUpflow</t>
  </si>
  <si>
    <t>Greaterthan25kbtuh</t>
  </si>
  <si>
    <t>20to25kbtuh</t>
  </si>
  <si>
    <t>Without Reverse Cycle / With Louvered Sides</t>
  </si>
  <si>
    <t>Without Reverse Cycle / Without Louvered Sides</t>
  </si>
  <si>
    <t>With Reverse Cycle / With Louvered Sides</t>
  </si>
  <si>
    <t>With Reverse Cycle / Without Louvered Sides</t>
  </si>
  <si>
    <t>RoomAirConditionerWithoutReverseCycleWithLouveredSides</t>
  </si>
  <si>
    <t>RoomAirConditionerWithoutReverseCycleWithoutLouveredSides</t>
  </si>
  <si>
    <t>RoomAirConditionerWithReverseCycleWithLouveredSides</t>
  </si>
  <si>
    <t>RoomAirConditionerWithReverseCycleWithoutLouveredSides</t>
  </si>
  <si>
    <t>WithReverseCycle</t>
  </si>
  <si>
    <t>WithLouveredSides</t>
  </si>
  <si>
    <t>WithoutReverseCycle</t>
  </si>
  <si>
    <t>WithoutLouveredSides</t>
  </si>
  <si>
    <t>Lessthan8kbtuh</t>
  </si>
  <si>
    <t>Lessthan8ktbuh</t>
  </si>
  <si>
    <t>IECC2018</t>
  </si>
  <si>
    <t>Added CRAC for CPS. Updated all RUL's for CPS. Updated Room AC baselines for All. Added "Data Centers" building type for CPS.</t>
  </si>
  <si>
    <t>A</t>
  </si>
  <si>
    <t>B</t>
  </si>
  <si>
    <t>Moved some of the chiller specific columns around in a way that made more sense.</t>
  </si>
  <si>
    <t>19.1.1</t>
  </si>
  <si>
    <t>Updated ER tables for finalized CPS Guidebook</t>
  </si>
  <si>
    <t>Added Instructions sheet</t>
  </si>
  <si>
    <t>Instructions</t>
  </si>
  <si>
    <t>This sheet provides basic instructions for using this calculator. Please contact the utility rebate program staff for further help or questions.</t>
  </si>
  <si>
    <t>Getting Started</t>
  </si>
  <si>
    <t>After opening the file, enable macros if prompted. This tool uses macros to format the spreadsheets for different scenarios.</t>
  </si>
  <si>
    <t>Project Info</t>
  </si>
  <si>
    <t>Inventory</t>
  </si>
  <si>
    <t>Start with this sheet. Enter in all relevant information for the project. The minimum required fields are State, Utility, County, and Program; these fields have drop-downs. Once these have been filled in, macros will automatically un-hide the next sheets.</t>
  </si>
  <si>
    <t>1.</t>
  </si>
  <si>
    <t>Select the Project Type:</t>
  </si>
  <si>
    <t>a.</t>
  </si>
  <si>
    <t>b.</t>
  </si>
  <si>
    <t>c.</t>
  </si>
  <si>
    <t>New Construction - installation of equipment where there was not previously equipment</t>
  </si>
  <si>
    <t>Early Retirement - the replacement of fully-functioning equipment</t>
  </si>
  <si>
    <t>Replace on Burnout - the replacement of broken or not fully-functioning equipment</t>
  </si>
  <si>
    <t>2.</t>
  </si>
  <si>
    <t>3.</t>
  </si>
  <si>
    <r>
      <rPr>
        <b/>
        <sz val="10"/>
        <rFont val="Arial"/>
        <family val="2"/>
      </rPr>
      <t>Select the Building Type</t>
    </r>
    <r>
      <rPr>
        <sz val="10"/>
        <rFont val="Arial"/>
        <family val="2"/>
      </rPr>
      <t>. See the "Building Types" tab for descriptions of each building type.</t>
    </r>
  </si>
  <si>
    <r>
      <rPr>
        <i/>
        <sz val="10"/>
        <rFont val="Arial"/>
        <family val="2"/>
      </rPr>
      <t>(Early Retirement Only)</t>
    </r>
    <r>
      <rPr>
        <sz val="10"/>
        <rFont val="Arial"/>
        <family val="2"/>
      </rPr>
      <t xml:space="preserve"> - </t>
    </r>
    <r>
      <rPr>
        <b/>
        <sz val="10"/>
        <rFont val="Arial"/>
        <family val="2"/>
      </rPr>
      <t>Input existing equipment information</t>
    </r>
    <r>
      <rPr>
        <sz val="10"/>
        <rFont val="Arial"/>
        <family val="2"/>
      </rPr>
      <t>, including equipment type, cooling capacity, year of manufacture, and quantity of units.</t>
    </r>
  </si>
  <si>
    <t xml:space="preserve">Tips: </t>
  </si>
  <si>
    <t>Move from left to right across the Inventory columns, as several drop-downs depend on the values in prior columns.</t>
  </si>
  <si>
    <t>Do not enter values in grayed-out cells. Conditional formatting will gray out unneeded cells as you go, and values left in these cells will cause errors in the calculation. If a cell becomes grayed out and it is not empty, please clear it out.</t>
  </si>
  <si>
    <t>4.</t>
  </si>
  <si>
    <r>
      <rPr>
        <b/>
        <sz val="10"/>
        <rFont val="Arial"/>
        <family val="2"/>
      </rPr>
      <t>Enter the new equipment information.</t>
    </r>
    <r>
      <rPr>
        <sz val="10"/>
        <rFont val="Arial"/>
        <family val="2"/>
      </rPr>
      <t xml:space="preserve"> Some of these columns are specific to certain types of equipment and will not appear until that equipment has been selected.</t>
    </r>
  </si>
  <si>
    <t>Heating section type: If applicable to your system, it will change from gray to white. For heat pump systems, this refers to the auxiliary/emergency heating type.</t>
  </si>
  <si>
    <t>Elec Res or None: for systems with no heating or electric resistance heating</t>
  </si>
  <si>
    <t>Other: for systems with an alternative heating source (i.e., natural gas)</t>
  </si>
  <si>
    <t>d.</t>
  </si>
  <si>
    <t>Redundant Chiller Systems: If the facility has redundant chillers (n+1) and they are sequenced such that, instead of allowing one chiller to operate at full load during peak cooling, the redundant chillers share the peak load while individually operating at partial loads, select "Yes". Otherwise, select "No".</t>
  </si>
  <si>
    <t>e.</t>
  </si>
  <si>
    <t>f.</t>
  </si>
  <si>
    <t>For heat pumps, enter the high-heating (47F) efficiency and unit format.</t>
  </si>
  <si>
    <t>g.</t>
  </si>
  <si>
    <t>Enter the quantity of units to be installed.</t>
  </si>
  <si>
    <t>Notes:</t>
  </si>
  <si>
    <t>For Early Retirement projects, the installed (capacity x quantity) cannot exceed 120% of the removed (capacity x equipment). A message will appear if this happens, contact program staff if you encounter this situation.</t>
  </si>
  <si>
    <t>Quantity: the number of units in the project scope with these characteristics.</t>
  </si>
  <si>
    <t>Manufacture year: choose the year the existing equipment was made. If unknown, select "Unknown". If older than the oldest year, select the oldest year.</t>
  </si>
  <si>
    <t>The only equipment type change this workbook supports is air cooled chiller to water cooled chiller. For other equipment type changes, please contact program staff for assistance.</t>
  </si>
  <si>
    <t>The "Reset Workbook" button clears all user-input cells and reverts the calculator back to a "fresh" file.</t>
  </si>
  <si>
    <t>Efficiencies should be at AHRI standard conditions. For DX systems, these can usually be found on AHRI certificates. For chilled water systems, these should be the IPLV at AHRI 550/590 conditions.</t>
  </si>
  <si>
    <t>Updated CPS Early Retirement Rates</t>
  </si>
  <si>
    <t>Capped ER savings at minimum of 0</t>
  </si>
  <si>
    <t>Minor changes not documented</t>
  </si>
  <si>
    <t>Added dev unlock</t>
  </si>
  <si>
    <t>WaterCooled</t>
  </si>
  <si>
    <t>GeothermalAirConditioner</t>
  </si>
  <si>
    <t>EvaporativelyCooled</t>
  </si>
  <si>
    <t>GeothermalHeatPump</t>
  </si>
  <si>
    <t>WatertoAirWaterLoop</t>
  </si>
  <si>
    <t>WatertoAirGroundWater</t>
  </si>
  <si>
    <t>BrinetoAirGroundLoop</t>
  </si>
  <si>
    <t>WatertoWaterWaterLoop</t>
  </si>
  <si>
    <t>WatertoWaterGroundWater</t>
  </si>
  <si>
    <t>BrinetoWaterGroundLoop</t>
  </si>
  <si>
    <t>17to65kbtuh</t>
  </si>
  <si>
    <t>Water Cooled</t>
  </si>
  <si>
    <t>Evaporatively Cooled</t>
  </si>
  <si>
    <t>Geothermal Air Conditioner</t>
  </si>
  <si>
    <t>Geothermal Heat Pump</t>
  </si>
  <si>
    <t>Water to Air / Water Loop</t>
  </si>
  <si>
    <t>Water to Air / Ground Water</t>
  </si>
  <si>
    <t>Brine to Air / Ground Loop</t>
  </si>
  <si>
    <t>Water to Water / Water Loop</t>
  </si>
  <si>
    <t>Water to Water / Ground Water</t>
  </si>
  <si>
    <t>Brine to Water / Ground Loop</t>
  </si>
  <si>
    <t>GeothermalAirConditionerHeatingType</t>
  </si>
  <si>
    <t>GeothermalAirConditionerWaterCooled</t>
  </si>
  <si>
    <t>GeothermalAirConditionerEvaporativelyCooled</t>
  </si>
  <si>
    <t>GeothermalHeatPumpWatertoAirWaterLoop</t>
  </si>
  <si>
    <t>GeothermalHeatPumpWatertoAirGroundWater</t>
  </si>
  <si>
    <t>GeothermalHeatPumpBrinetoAirGroundLoop</t>
  </si>
  <si>
    <t>LAEquipment Type</t>
  </si>
  <si>
    <t>OKEquipmentType</t>
  </si>
  <si>
    <t>MSEquipmentType</t>
  </si>
  <si>
    <t>Part-:Load</t>
  </si>
  <si>
    <t>ARTRM8 Table 275</t>
  </si>
  <si>
    <t>ARTRM8 Table 275 (Air Cooled Heat Pumps)</t>
  </si>
  <si>
    <t>GeothermalHeatPumpWatertoWaterGroundWater</t>
  </si>
  <si>
    <t>GeothermalHeatPumpBrinetoWaterGroundLoop</t>
  </si>
  <si>
    <t>GeothermalHeatPumpWatertoWaterWaterLoop</t>
  </si>
  <si>
    <t>Overhauled geothermal equipment &amp; added for OK, CPS</t>
  </si>
  <si>
    <t>Serial #(s)</t>
  </si>
  <si>
    <t>Cooling capacity may be entered in Btu/hr or tons. Default units will populate but may be changed via drop-down. Ensure that the correct units are selected in column G. 1 Ton = 12,000 Btu/hr</t>
  </si>
  <si>
    <t>Cooling and heating capacities may be entered in Btu/hr or tons. Default units will populate but may be changed via drop-down. Ensure that the correct units are selected in columns R and T. 1 Ton = 12,000 Btu/hr</t>
  </si>
  <si>
    <t>Chiller baseline path: For chilled water systems, choose either Path A (favoring full-load efficiency) or Path B (favoring part-load efficiency) compliance. If the chiller qualifies for both paths, choose the option which begets the best incentive. The workbook defaults to path A.</t>
  </si>
  <si>
    <t>Enter the full and part load efficiency values for the new equipment. The default efficiency units will auto-populate, but may be changed via drop-down.</t>
  </si>
  <si>
    <t>"EER" includes values in EER, SEER, IEER, CEER, or BTU/W.</t>
  </si>
  <si>
    <t>"SCOP" is Seasonal Coefficient of Performance (typically only CRAC units).</t>
  </si>
  <si>
    <t>Updated Inventory formatting, added serial # column for removed equipment, added auto-populating units</t>
  </si>
  <si>
    <t>Once the Installed Equipment type, capacity, and efficiency format have been filled out, columns AQ-AU will show the program minimum efficiency values in the chosen units.</t>
  </si>
  <si>
    <t>Make / Model #</t>
  </si>
  <si>
    <t>EFLH,c</t>
  </si>
  <si>
    <t>EFLH,h</t>
  </si>
  <si>
    <t>NCF</t>
  </si>
  <si>
    <t>Heating Efficiency (COP only)</t>
  </si>
  <si>
    <t>Cooling Efficiency (kW/ton only)</t>
  </si>
  <si>
    <t>Weather Factor Overrides</t>
  </si>
  <si>
    <t>Baseline Efficiency Overrides</t>
  </si>
  <si>
    <t>Added baseline efficiency override option</t>
  </si>
  <si>
    <t>General updates for 2020</t>
  </si>
  <si>
    <t>Incentive Override:</t>
  </si>
  <si>
    <t>Updated workbook passwords to new set</t>
  </si>
  <si>
    <t>Added incentive override feature</t>
  </si>
  <si>
    <t>20.0.1</t>
  </si>
  <si>
    <t>Updated OGE SAGE Incentive</t>
  </si>
  <si>
    <t>rounded PTAC baselines to 0.1EER</t>
  </si>
  <si>
    <t>Climate Zone:</t>
  </si>
  <si>
    <t>Weather Factors</t>
  </si>
  <si>
    <t>Tidied up some of the VBA</t>
  </si>
  <si>
    <t>Inventory now shows EFLH/CF for OG&amp;E</t>
  </si>
  <si>
    <t>Estimated Cost</t>
  </si>
  <si>
    <t>Total Cost</t>
  </si>
  <si>
    <t>New kWh</t>
  </si>
  <si>
    <t>Removed LA/MS from back-end tables</t>
  </si>
  <si>
    <t>Added line item equipment cost</t>
  </si>
  <si>
    <t>Fixed bug in line item cost</t>
  </si>
  <si>
    <t>21.0.1</t>
  </si>
  <si>
    <t>2022 CPS Guidebook no longer segregates unitary baseline values by heating type. Updated values for CPS.</t>
  </si>
  <si>
    <t>Updated manufacture year picklist &amp; early retirement baseline lookups to 1993-2021</t>
  </si>
  <si>
    <t>Import Instructions</t>
  </si>
  <si>
    <t>Enter the Enrollment Application ID and Application Premise ID below, then use the buttons to create and export the CSV.</t>
  </si>
  <si>
    <t>Enrollment Application ID:</t>
  </si>
  <si>
    <t>Application Premise ID:</t>
  </si>
  <si>
    <t>The enrollment application record ID can be found by navigating to the Enrollment Application in DSMT in your web browser and copying the ID at the end of the web address (after .com/).</t>
  </si>
  <si>
    <t>The application premise record ID can be found by navigating to the Application Premise in DSMT in your web browser and copying the ID at the end of the web address (after .com/).</t>
  </si>
  <si>
    <t>Launching the Import Wizard in Salesforce</t>
  </si>
  <si>
    <t xml:space="preserve">Login to Salesforce in the environment you will be testing. </t>
  </si>
  <si>
    <t>Navigate to Upload MLIs by clicking on the "+" sign in the top right corner of the page.</t>
  </si>
  <si>
    <t>Click on the "Choose File" button and select the CSV file you created.</t>
  </si>
  <si>
    <t>Select the "Upload File" button.</t>
  </si>
  <si>
    <t>5.</t>
  </si>
  <si>
    <t>An email will be sent to your account once all MLIs are imported. Depending on how large the CSV file is, this may take anywhere between 1-3 hours.</t>
  </si>
  <si>
    <t>Note: You can import multiple CSV files at once. One email will be sent out for each file.</t>
  </si>
  <si>
    <t>Advanced Controls</t>
  </si>
  <si>
    <t>DSMT Environment:</t>
  </si>
  <si>
    <r>
      <t xml:space="preserve">Project Export for DSMT
</t>
    </r>
    <r>
      <rPr>
        <sz val="11"/>
        <color theme="1"/>
        <rFont val="Calibri"/>
        <family val="2"/>
        <scheme val="minor"/>
      </rPr>
      <t>Use this sheet to export a lighting project to a CSV file, which can be uploaded into DSMT using the Salesforce Data Import Wizard.</t>
    </r>
  </si>
  <si>
    <t>Enrollment_Application__c</t>
  </si>
  <si>
    <t>Application_Premise__c</t>
  </si>
  <si>
    <t>Eligible_Measure__c</t>
  </si>
  <si>
    <t>Project_Type__c</t>
  </si>
  <si>
    <t>Building_Type__c</t>
  </si>
  <si>
    <t>Climate_Zone__c</t>
  </si>
  <si>
    <t>EFLH_Cooling__c</t>
  </si>
  <si>
    <t>EFLH_Heating__c</t>
  </si>
  <si>
    <t>Coincident_Factor_PJM_SC__c</t>
  </si>
  <si>
    <t>Coincident_Factor_PJM_WC__c</t>
  </si>
  <si>
    <t>Existing_System_Type__c</t>
  </si>
  <si>
    <t>Existing_Equipment_Age_years__c</t>
  </si>
  <si>
    <t>Manufacturer__c</t>
  </si>
  <si>
    <t>Model__c</t>
  </si>
  <si>
    <t>AHRI_Number__c</t>
  </si>
  <si>
    <t>System_Type__c</t>
  </si>
  <si>
    <t>Compressor_Control_Type__c</t>
  </si>
  <si>
    <t>Chiller_Operating_Condition__c</t>
  </si>
  <si>
    <t>Existing_Quantity__c</t>
  </si>
  <si>
    <t>Quantity__c</t>
  </si>
  <si>
    <t>Baseline_EER__c</t>
  </si>
  <si>
    <t>Efficient_Energy_Efficiency_Ratio__c</t>
  </si>
  <si>
    <t>Existing_Energy_Efficiency_Ratio__c</t>
  </si>
  <si>
    <t>Baseline_Design_Efficiency_kW_ton__c</t>
  </si>
  <si>
    <t>Efficient_Design_Efficiency_kW_ton__c</t>
  </si>
  <si>
    <t>Existing_Design_Efficiency_kW_ton__c</t>
  </si>
  <si>
    <t>Baseline_SEER__c</t>
  </si>
  <si>
    <t>Efficient_Seasonal_Energy_Ratio__c</t>
  </si>
  <si>
    <t>Existing_Seasonal_Energy_Ratio__c</t>
  </si>
  <si>
    <t>Baseline_IEER__c</t>
  </si>
  <si>
    <t>Efficient_IEER__c</t>
  </si>
  <si>
    <t>Existing_IEER__c</t>
  </si>
  <si>
    <t>Baseline_IPLV__c</t>
  </si>
  <si>
    <t>Efficient_IPLV__c</t>
  </si>
  <si>
    <t>Existing_IPLV__c</t>
  </si>
  <si>
    <t>Baseline_COP__c</t>
  </si>
  <si>
    <t>Efficient_COP__c</t>
  </si>
  <si>
    <t>Existing_COP__c</t>
  </si>
  <si>
    <t>Baseline_HSPF__c</t>
  </si>
  <si>
    <t>Efficient_Heat_Seasonal_Prfrmnce_Factor__c</t>
  </si>
  <si>
    <t>Existing_Heat_Seasonal_Prfrmnce_Factor__c</t>
  </si>
  <si>
    <t>Existing_Cooling_Capacity_BTUH__c</t>
  </si>
  <si>
    <t>Existing_Cooling_Capacity_tons__c</t>
  </si>
  <si>
    <t>Cooling_BTUH__c</t>
  </si>
  <si>
    <t>Cooling_Capacity_tons__c</t>
  </si>
  <si>
    <t>Existing_Heating_Capacity_Btu_hr__c</t>
  </si>
  <si>
    <t>Heating_BTUH__c</t>
  </si>
  <si>
    <t>Measure_Life_years__c</t>
  </si>
  <si>
    <t>Summer_Coincident_Peak_Demand_Savings_kW__c</t>
  </si>
  <si>
    <t>WC_Peak_Demand_Savings_kW__c</t>
  </si>
  <si>
    <t>Annual_Electric_Energy_Savings_kwh__c</t>
  </si>
  <si>
    <t>Manufacturer</t>
  </si>
  <si>
    <t>Model #</t>
  </si>
  <si>
    <t>Pre btuh</t>
  </si>
  <si>
    <t>RecordType</t>
  </si>
  <si>
    <t>EligibleMeasure</t>
  </si>
  <si>
    <t>DSMT RTID &amp; EM Lookup Table</t>
  </si>
  <si>
    <t>Equipment Type:</t>
  </si>
  <si>
    <t>TXCPS EnergySchools &amp; InstitutionsPROD</t>
  </si>
  <si>
    <t>TXCPS EnergySchools &amp; InstitutionsUAT</t>
  </si>
  <si>
    <t>TXCPS EnergySmall BusinessPROD</t>
  </si>
  <si>
    <t>TXCPS EnergySmall BusinessUAT</t>
  </si>
  <si>
    <t>OKOklahoma Gas &amp; ElectricLarge C&amp;IPROD</t>
  </si>
  <si>
    <t>OKOklahoma Gas &amp; ElectricLarge C&amp;IUAT</t>
  </si>
  <si>
    <t>OKOklahoma Gas &amp; ElectricSchools &amp; GovtPROD</t>
  </si>
  <si>
    <t>OKOklahoma Gas &amp; ElectricSchools &amp; GovtUAT</t>
  </si>
  <si>
    <t>OKOklahoma Gas &amp; ElectricSmall BusinessUAT</t>
  </si>
  <si>
    <t>OKOklahoma Gas &amp; ElectricSmall BusinessPROD</t>
  </si>
  <si>
    <t>AROklahoma Gas &amp; ElectricSmall BusinessPROD</t>
  </si>
  <si>
    <t>AROklahoma Gas &amp; ElectricSmall BusinessUAT</t>
  </si>
  <si>
    <t>AROklahoma Gas &amp; ElectricCommercial Standard Offer ProgramPROD</t>
  </si>
  <si>
    <t>AROklahoma Gas &amp; ElectricCommercial Standard Offer ProgramUAT</t>
  </si>
  <si>
    <t>Hide</t>
  </si>
  <si>
    <t>Added DSMT export functionality - to be finalized in v22.1</t>
  </si>
  <si>
    <t>Education (College/University)</t>
  </si>
  <si>
    <t>Education (Primary School)</t>
  </si>
  <si>
    <t>Education (Secondary School)</t>
  </si>
  <si>
    <t>Food Sales (Convenience)</t>
  </si>
  <si>
    <t>Food Sales (Supermarket)</t>
  </si>
  <si>
    <t>Food Service (Full Service Restaurant)</t>
  </si>
  <si>
    <t>Food Service (24-hr Full Service Rest.)</t>
  </si>
  <si>
    <t>Food Service (Quick Service Restaurant)</t>
  </si>
  <si>
    <t>Food Service (24-hr Quick Service Rest.)</t>
  </si>
  <si>
    <t>Healthcare (Outpatient)</t>
  </si>
  <si>
    <t>Large Multifamily (Midrise Apartment)</t>
  </si>
  <si>
    <t>Lodging (Large Hotel)</t>
  </si>
  <si>
    <t>Lodging (Nursing Home)</t>
  </si>
  <si>
    <t>Lodging (Small Hotel)</t>
  </si>
  <si>
    <t>Mercantile (Stand Alone)</t>
  </si>
  <si>
    <t>Mercantile (24-hr Stand Alone)</t>
  </si>
  <si>
    <t>Mercantile (Strip Mall)</t>
  </si>
  <si>
    <t>Office (Large)</t>
  </si>
  <si>
    <t>Office (Medium)</t>
  </si>
  <si>
    <t>Office (Small)</t>
  </si>
  <si>
    <t>TXEqDataCenter</t>
  </si>
  <si>
    <t>TXEqEducationCollegeUniversity</t>
  </si>
  <si>
    <t>TXEqEducationPrimarySchool</t>
  </si>
  <si>
    <t>TXEqEducationSecondarySchool</t>
  </si>
  <si>
    <t>TXEqFoodSalesConvenience</t>
  </si>
  <si>
    <t>TXEqFoodSalesSupermarket</t>
  </si>
  <si>
    <t>TXEqFoodServiceFullServiceRestaurant</t>
  </si>
  <si>
    <t>TXEqFoodService24hrFullServiceRest</t>
  </si>
  <si>
    <t>TXEqFoodServiceQuickServiceRestaurant</t>
  </si>
  <si>
    <t>TXEqFoodService24hrQuickServiceRest</t>
  </si>
  <si>
    <t>TXEqHealthcareHospital</t>
  </si>
  <si>
    <t>TXEqHealthcareOutpatient</t>
  </si>
  <si>
    <t>TXEqLargeMultifamilyMidriseApartment</t>
  </si>
  <si>
    <t>TXEqLodgingLargeHotel</t>
  </si>
  <si>
    <t>TXEqLodgingNursingHome</t>
  </si>
  <si>
    <t>TXEqLodgingSmallHotel</t>
  </si>
  <si>
    <t>TXEqMercantileStandAlone</t>
  </si>
  <si>
    <t>TXEqMercantile24hrStandAlone</t>
  </si>
  <si>
    <t>TXEqMercantileStripMall</t>
  </si>
  <si>
    <t>TXEqOfficeLarge</t>
  </si>
  <si>
    <t>TXEqOfficeMedium</t>
  </si>
  <si>
    <t>TXEqOfficeSmall</t>
  </si>
  <si>
    <t>TXEqPublicAssembly</t>
  </si>
  <si>
    <t>TXEqReligiousWorship</t>
  </si>
  <si>
    <t>TXEqService</t>
  </si>
  <si>
    <t>TXEqWarehouse</t>
  </si>
  <si>
    <t>TXEqOther</t>
  </si>
  <si>
    <t>Column1</t>
  </si>
  <si>
    <t>Post tons</t>
  </si>
  <si>
    <t>Post btuh</t>
  </si>
  <si>
    <t>Pre Total Tons to use</t>
  </si>
  <si>
    <t>Fixed logic handling &gt;20% capacity decrease in ER</t>
  </si>
  <si>
    <t>Changed ProgramYear to a dynamic named range referencing the version</t>
  </si>
  <si>
    <t>Updated assumed age for all equipment types to equal EUL</t>
  </si>
  <si>
    <t>Post total tons to use</t>
  </si>
  <si>
    <t>Updated avoided costs for CPS FY22</t>
  </si>
  <si>
    <t>Non_Coincident_Peak_Demand_Savings_kW__c</t>
  </si>
  <si>
    <t>a1r79000000A5lH</t>
  </si>
  <si>
    <t>012790000004Q0IAAU</t>
  </si>
  <si>
    <t>a1r79000000A5kd</t>
  </si>
  <si>
    <t>a1r79000000A5kY</t>
  </si>
  <si>
    <t>012790000004Q0JAAU</t>
  </si>
  <si>
    <t>a1r79000000A5kO</t>
  </si>
  <si>
    <t>a1r79000000A5kT</t>
  </si>
  <si>
    <t>012790000004Q0PAAU</t>
  </si>
  <si>
    <t>a1r79000000A5l2</t>
  </si>
  <si>
    <t>a1r79000000A5kE</t>
  </si>
  <si>
    <t>Non_Coincident_Peak_Demand_Factor__c</t>
  </si>
  <si>
    <t>test model</t>
  </si>
  <si>
    <t>test make</t>
  </si>
  <si>
    <t>Total_Incentive_New__c</t>
  </si>
  <si>
    <t>Existing_Manufacturer__c</t>
  </si>
  <si>
    <t>Existing_Model__c</t>
  </si>
  <si>
    <t>Equipment_Type__c</t>
  </si>
  <si>
    <t>RecordTypeId</t>
  </si>
  <si>
    <t>Reverse_Cycle__c</t>
  </si>
  <si>
    <t>Louvered_Sides__c</t>
  </si>
  <si>
    <t>Casement_Window__c</t>
  </si>
  <si>
    <t>a1r79000000A6X3AAK</t>
  </si>
  <si>
    <t>a1r79000000A6XDAA0</t>
  </si>
  <si>
    <t>a1r79000000A6X8AAK</t>
  </si>
  <si>
    <t>a1r79000000A6XIAA0</t>
  </si>
  <si>
    <t>a1r79000000A6Y1AAK</t>
  </si>
  <si>
    <t>a1r79000000A6WZAA0</t>
  </si>
  <si>
    <t>a1r79000000A6WeAAK</t>
  </si>
  <si>
    <t>a2379000000AMD6</t>
  </si>
  <si>
    <t>a0879000001Sjfq</t>
  </si>
  <si>
    <t>Manufactured_Year__c</t>
  </si>
  <si>
    <t>Lessthan45kbtuh</t>
  </si>
  <si>
    <t>45to65kbtuh</t>
  </si>
  <si>
    <t>EER2</t>
  </si>
  <si>
    <t>SEER2</t>
  </si>
  <si>
    <t>HSPF2</t>
  </si>
  <si>
    <t>a1r3u0000069BuYAAU</t>
  </si>
  <si>
    <t>0123u000000aP62AAE</t>
  </si>
  <si>
    <t>a1r3u0000069BuQAAU</t>
  </si>
  <si>
    <t>a1r3u0000069BuPAAU</t>
  </si>
  <si>
    <t>0123u000000aP63AAE</t>
  </si>
  <si>
    <t>a1r3u0000069BuNAAU</t>
  </si>
  <si>
    <t>a1r3u0000069BuVAAU</t>
  </si>
  <si>
    <t>0123u000000aP64AAE</t>
  </si>
  <si>
    <t>a1r3u0000069BuOAAU</t>
  </si>
  <si>
    <t>a1r3u0000069BuLAAU</t>
  </si>
  <si>
    <t>a1r3u0000069DASAA2</t>
  </si>
  <si>
    <t>a1r3u0000069DAUAA2</t>
  </si>
  <si>
    <t>a1r3u0000069DB2AAM</t>
  </si>
  <si>
    <t>a1r3u0000069DB4AAM</t>
  </si>
  <si>
    <t>a1r3u0000069DBVAA2</t>
  </si>
  <si>
    <t>a1r3u0000069DBXAA2</t>
  </si>
  <si>
    <t>a1r3u0000069DBdAAM</t>
  </si>
  <si>
    <t>Commercial &amp; Industrial</t>
  </si>
  <si>
    <t>TXCPS EnergyCommercial &amp; IndustrialUAT</t>
  </si>
  <si>
    <t>TXCPS EnergyCommercial &amp; IndustrialPROD</t>
  </si>
  <si>
    <t>15.2SEER2</t>
  </si>
  <si>
    <t>&lt;5.4T,15.2SEER2?</t>
  </si>
  <si>
    <t>Part-Load 
or IPLV</t>
  </si>
  <si>
    <t>Updates for SEER2, updated some baselines for AR TRM</t>
  </si>
  <si>
    <t>DOE Standards</t>
  </si>
  <si>
    <t>a1r6A000000RmnmQAC</t>
  </si>
  <si>
    <t>0126A000000BLEeQAO</t>
  </si>
  <si>
    <t>a1r6A000000Rmn9QAC</t>
  </si>
  <si>
    <t>0126A000000BLG9QAO</t>
  </si>
  <si>
    <t>a1r6A000000Rmn0QAC</t>
  </si>
  <si>
    <t>0126A000000BLFwQAO</t>
  </si>
  <si>
    <t>a1r6A000000Rmn1QAC</t>
  </si>
  <si>
    <t>0126A000000BLFzQAO</t>
  </si>
  <si>
    <t>a1r6A000000Rmn2QAC</t>
  </si>
  <si>
    <t>0126A000000BLFXQA4</t>
  </si>
  <si>
    <t>a1r6A000000RmnhQAC</t>
  </si>
  <si>
    <t>0126A000000BLFaQAO</t>
  </si>
  <si>
    <t>a1r6A000000RmnkQAC</t>
  </si>
  <si>
    <t>0126A000000BLEiQAO</t>
  </si>
  <si>
    <t>a1r6A000000RmnAQAS</t>
  </si>
  <si>
    <t>0126A000000BLGDQA4</t>
  </si>
  <si>
    <t>a1r6A000000Rmn3QAC</t>
  </si>
  <si>
    <t>0126A000000BLFxQAO</t>
  </si>
  <si>
    <t>a1r6A000000Rmn4QAC</t>
  </si>
  <si>
    <t>0126A000000BLG0QAO</t>
  </si>
  <si>
    <t>a1r6A000000Rmn5QAC</t>
  </si>
  <si>
    <t>0126A000000BLFYQA4</t>
  </si>
  <si>
    <t>a1r6A000000RmneQAC</t>
  </si>
  <si>
    <t>0126A000000BLFbQAO</t>
  </si>
  <si>
    <t>Updated CPS avoided costs for 2023</t>
  </si>
  <si>
    <t>PROD</t>
  </si>
  <si>
    <t>Note: All residential-sized Air Conditioners &amp; Heat Pumps should be rated in EER2/SEER2/HSPF2.</t>
  </si>
  <si>
    <t>Incremented version # to 2024</t>
  </si>
  <si>
    <t>Baseline Cooling Eff (EER)</t>
  </si>
  <si>
    <t>Const</t>
  </si>
  <si>
    <t>Var</t>
  </si>
  <si>
    <t>Baseline Heating Eff (COP)</t>
  </si>
  <si>
    <t>Lessthan7kbtuh</t>
  </si>
  <si>
    <t>7kbtuhto15kbtuh</t>
  </si>
  <si>
    <t>Greaterthan15kbtuh</t>
  </si>
  <si>
    <t>*Note: units made 2013 &amp; later aren't eligible for early retirement, so they just have the same baseline as the TRM baseline.</t>
  </si>
  <si>
    <t>Updated Unitary &gt;5.4T baselines for AR TRM</t>
  </si>
  <si>
    <t>Revamped PTAC/PTHP baseline lookup</t>
  </si>
  <si>
    <t>ARTRM9.2</t>
  </si>
  <si>
    <t>DX AC/HP</t>
  </si>
  <si>
    <t>Fixed Summary formulas omitting CRAC</t>
  </si>
  <si>
    <t>Updated for PY2025 CPS TRM: Removed Redundant Chiller input</t>
  </si>
  <si>
    <t>removed formulas for Manuf Year list</t>
  </si>
  <si>
    <t>TXZONE</t>
  </si>
  <si>
    <t>1) Elementary or Middle School (grade 8 or lower)</t>
  </si>
  <si>
    <t>IECC2024 Table C403.3.2(1)</t>
  </si>
  <si>
    <t>IECC2024 Table C403.3.3(14)</t>
  </si>
  <si>
    <t>CPS Energy Commercial HVAC Calculator</t>
  </si>
  <si>
    <t>Alex Butterwick</t>
  </si>
  <si>
    <t xml:space="preserve"> </t>
  </si>
  <si>
    <t>Enrollment Application:</t>
  </si>
  <si>
    <t>Joshua Chiwuzie,
Maxwell Carls</t>
  </si>
  <si>
    <t>New guidebook</t>
  </si>
  <si>
    <r>
      <t>Updated for FY26 CPS Energy Guidebook. Separating from South HVAC to make a CPS only calculator. See "</t>
    </r>
    <r>
      <rPr>
        <i/>
        <sz val="11"/>
        <color theme="1"/>
        <rFont val="Calibri"/>
        <family val="2"/>
        <scheme val="minor"/>
      </rPr>
      <t>0_FY26 CPS Calc Updates</t>
    </r>
    <r>
      <rPr>
        <sz val="11"/>
        <color theme="1"/>
        <rFont val="Calibri"/>
        <family val="2"/>
        <scheme val="minor"/>
      </rPr>
      <t>" file for more comprehensive changes.
- Removed non TX States on project info tab
- Removed upsizing criteria per FY26 guidebook
- Updated ER retirement years on lookup tables
- Added QA/QC Engineer column to version log</t>
    </r>
  </si>
  <si>
    <t>Lead Developer</t>
  </si>
  <si>
    <t>Supporting Developers
(QA/QC)</t>
  </si>
  <si>
    <t>capping issue &amp; ROB kW calculation issue</t>
  </si>
  <si>
    <t>Fixed capping issue in column BD. For ER projects only, when downsizing, the pre-installed cooling capacity is limited to a maximum of 120 percent of the new equipment’s cooling capacity. There is no limit on upsizing because the savings are calculated using the lower pre-installed capacity
ROB kW calculation for unitary equipment was pulling incorrect data. Fixed the cells in column CC to equal the NC methodology in column CG</t>
  </si>
  <si>
    <t>kW rounding</t>
  </si>
  <si>
    <t>Healthcare (Inpatient)</t>
  </si>
  <si>
    <t>&lt;=1997</t>
  </si>
  <si>
    <r>
      <t xml:space="preserve">Updated kW rounding formulas to from 3 decimals to 2 decimals for DSMT incentive calculations.
Updated DX CFs to cap at 1.0.
Updated baseline lookup tables to match ACE
</t>
    </r>
    <r>
      <rPr>
        <b/>
        <sz val="11"/>
        <color theme="1"/>
        <rFont val="Calibri"/>
        <family val="2"/>
        <scheme val="minor"/>
      </rPr>
      <t>Action Items (still needed):</t>
    </r>
    <r>
      <rPr>
        <sz val="11"/>
        <color theme="1"/>
        <rFont val="Calibri"/>
        <family val="2"/>
        <scheme val="minor"/>
      </rPr>
      <t xml:space="preserve">
-Unitary: Add Split &lt; 5.42 tons rated at ≥ 15.2 SEER2
-CHLR: Add Manufacturing EFLH &amp; CFs</t>
    </r>
  </si>
  <si>
    <t>Rodrigo Bonilla</t>
  </si>
  <si>
    <t>PTAC/PTHP Baseline Efficiency Corrections</t>
  </si>
  <si>
    <t>Corrected baseline efficiency lookup values for PTAC and PTHP equipment to align with federal standards (10 CFR 431.97). The issue was that capacity-dependent formulas designed for the 7,000-15,000 Btuh range were incorrectly being applied to &lt;7,000 Btuh and &gt;15,000 Btuh capacity ranges, which per federal standards should use flat efficiency values.</t>
  </si>
  <si>
    <t>Note:</t>
  </si>
  <si>
    <t>CPS row (NC/ROB) uses NSenCOP per DOE 10 CFR 431 (eff. 5/28/2024). Upflow values are for Nonducted configuration.</t>
  </si>
  <si>
    <t>Updated the CPS (New Construction/ROB) baseline row to reflect the new DOE 10 CFR 431 federal standard effective May 28, 2024, replacing SCOP values with NSenCOP values from FY27 CPS Guidebook Table 13.5-2</t>
  </si>
  <si>
    <t>CRAC Baseline update</t>
  </si>
  <si>
    <t>Manufacturing</t>
  </si>
  <si>
    <t>TXEqManufacturing</t>
  </si>
  <si>
    <t>Buildings used for manufacturing or industrial production processes.</t>
  </si>
  <si>
    <t>1) Factory 2) Production Facility 3) Assembly Plant</t>
  </si>
  <si>
    <t>Added Manufacturing building type with chiller support only (Air Cooled &amp; Water Cooled Chillers)</t>
  </si>
  <si>
    <r>
      <rPr>
        <b/>
        <sz val="11"/>
        <color theme="1"/>
        <rFont val="Calibri"/>
        <family val="2"/>
        <scheme val="minor"/>
      </rPr>
      <t>EFLH Sheet</t>
    </r>
    <r>
      <rPr>
        <sz val="11"/>
        <color theme="1"/>
        <rFont val="Calibri"/>
        <family val="2"/>
        <scheme val="minor"/>
      </rPr>
      <t xml:space="preserve">: Added row 31 to TX_EFLHSanAntonio table with Manufacturing data
</t>
    </r>
    <r>
      <rPr>
        <b/>
        <sz val="11"/>
        <color theme="1"/>
        <rFont val="Calibri"/>
        <family val="2"/>
        <scheme val="minor"/>
      </rPr>
      <t>Created named range</t>
    </r>
    <r>
      <rPr>
        <sz val="11"/>
        <color theme="1"/>
        <rFont val="Calibri"/>
        <family val="2"/>
        <scheme val="minor"/>
      </rPr>
      <t xml:space="preserve">: TXEqManufacturing (EFLH!$AC$31:$AH$31) for Equipment Type dropdown
</t>
    </r>
    <r>
      <rPr>
        <b/>
        <sz val="11"/>
        <color theme="1"/>
        <rFont val="Calibri"/>
        <family val="2"/>
        <scheme val="minor"/>
      </rPr>
      <t>Building Types Sheet</t>
    </r>
    <r>
      <rPr>
        <sz val="11"/>
        <color theme="1"/>
        <rFont val="Calibri"/>
        <family val="2"/>
        <scheme val="minor"/>
      </rPr>
      <t xml:space="preserve">: Added row 73 with Manufacturing definition and EFLH reference values
</t>
    </r>
    <r>
      <rPr>
        <b/>
        <sz val="11"/>
        <color theme="1"/>
        <rFont val="Calibri"/>
        <family val="2"/>
        <scheme val="minor"/>
      </rPr>
      <t>Equipment restriction</t>
    </r>
    <r>
      <rPr>
        <sz val="11"/>
        <color theme="1"/>
        <rFont val="Calibri"/>
        <family val="2"/>
        <scheme val="minor"/>
      </rPr>
      <t>: Manufacturing limited to Air Cooled Chiller and Water Cooled Chiller only (no DX or PT/Room)</t>
    </r>
  </si>
  <si>
    <t>Updated Column BC formula (rows 8-32) to allow Unitary Air Conditioner → Unitary Heat Pump conversions for Early Retirement projects per FY27 CPS Guidebook Section 13.2 (Split and Packaged). Previously, these valid conversions were incorrectly flagged as unsupported equipment type changes.</t>
  </si>
  <si>
    <t>Added AC-to-HP conversion support</t>
  </si>
  <si>
    <t>Bug Fix - Lookup Errors</t>
  </si>
  <si>
    <t>Enhanced formulas in columns BL, BM, BS, BT (rows 8-32) to auto-default Equipment Detail: 'Other' for Unitary AC/HP ≥65kbtuh, 'Split' for Unitary HP 45-65kbtuh, 'StandardSize' for PTAC/PTHP. Fixes #REF! and #N/A errors when Equipment Detail is blank.</t>
  </si>
  <si>
    <t>Removed AR and OK EFLH and CFs from EFLH worksheet</t>
  </si>
  <si>
    <t>General</t>
  </si>
  <si>
    <t>AirCooledwithFluidEconomizerDownflow</t>
  </si>
  <si>
    <t>AirCooledwithFluidEconomizerUpflow</t>
  </si>
  <si>
    <t>GlycolCooledwithFluidEconomizerDownflow</t>
  </si>
  <si>
    <t>GlycolCooledwithFluidEconomizerUpflow</t>
  </si>
  <si>
    <t>ComputerRoomACAirCooledwithFluidEconomizerDownflowLessthan65kbtuh</t>
  </si>
  <si>
    <t>ComputerRoomACAirCooledwithFluidEconomizerDownflow65to240kbtuh</t>
  </si>
  <si>
    <t>ComputerRoomACAirCooledwithFluidEconomizerDownflowGreaterThan240kbtuh</t>
  </si>
  <si>
    <t>ComputerRoomACAirCooledwithFluidEconomizerUpflowLessthan65kbtuh</t>
  </si>
  <si>
    <t>ComputerRoomACAirCooledwithFluidEconomizerUpflow65to240kbtuh</t>
  </si>
  <si>
    <t>ComputerRoomACAirCooledwithFluidEconomizerUpflowGreaterThan240kbtuh</t>
  </si>
  <si>
    <t>ComputerRoomACGlycolCooledwithFluidEconomizerDownflowLessthan65kbtuh</t>
  </si>
  <si>
    <t>ComputerRoomACGlycolCooledwithFluidEconomizerDownflow65to240kbtuh</t>
  </si>
  <si>
    <t>ComputerRoomACGlycolCooledwithFluidEconomizerDownflowGreaterThan240kbtuh</t>
  </si>
  <si>
    <t>ComputerRoomACGlycolCooledwithFluidEconomizerUpflowLessthan65kbtuh</t>
  </si>
  <si>
    <t>ComputerRoomACGlycolCooledwithFluidEconomizerUpflow65to240kbtuh</t>
  </si>
  <si>
    <t>ComputerRoomACGlycolCooledwithFluidEconomizerUpflowGreaterThan240kbtuh</t>
  </si>
  <si>
    <t>Air Cooled with Fluid Economizer / Downflow</t>
  </si>
  <si>
    <t>Air Cooled with Fluid Economizer / Upflow</t>
  </si>
  <si>
    <t>Glycol Cooled with Fluid Economizer / Downflow</t>
  </si>
  <si>
    <t>Glycol Cooled with Fluid Economizer / Upflow</t>
  </si>
  <si>
    <t>ComputerRoomACAirCooledwithFluidEconomizerDownflow</t>
  </si>
  <si>
    <t>ComputerRoomACAirCooledwithFluidEconomizerUpflow</t>
  </si>
  <si>
    <t>ComputerRoomACGlycolCooledwithFluidEconomizerDownflow</t>
  </si>
  <si>
    <t>ComputerRoomACGlycolCooledwithFluidEconomizerUpflow</t>
  </si>
  <si>
    <t>CRAC Equipment Update</t>
  </si>
  <si>
    <t>Added 4 new CRAC equipment types to the CRAC sheet and ComputerRoomAC named range: Air Cooled with Fluid Economizer (Downflow/Upflow) and Glycol Cooled with Fluid Economizer (Downflow/Upflow), per FY27 CPS Guidebook Tables 13.5-1 and 13.5-2.</t>
  </si>
  <si>
    <t>Raul Guaracha</t>
  </si>
  <si>
    <t>v26.1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</si>
</sst>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1" formatCode="_(* #,##0_);_(* \(#,##0\);_(* &quot;-&quot;_);_(@_)"/>
    <numFmt numFmtId="44" formatCode="_(&quot;$&quot;* #,##0.00_);_(&quot;$&quot;* \(#,##0.00\);_(&quot;$&quot;* &quot;-&quot;??_);_(@_)"/>
    <numFmt numFmtId="43" formatCode="_(* #,##0.00_);_(* \(#,##0.00\);_(* &quot;-&quot;??_);_(@_)"/>
    <numFmt numFmtId="164" formatCode="0.0"/>
    <numFmt numFmtId="165" formatCode="0.000"/>
    <numFmt numFmtId="166" formatCode="0_);\(0\)"/>
    <numFmt numFmtId="167" formatCode="_(\$* #,##0.00_);_(\$* \(#,##0.00\);_(\$* \-??_);_(@_)"/>
    <numFmt numFmtId="168" formatCode="[&lt;=9999999]###\-####;\(###\)\ ###\-####"/>
    <numFmt numFmtId="169" formatCode="\$#,##0.00"/>
    <numFmt numFmtId="170" formatCode="\$#,##0.0000"/>
    <numFmt numFmtId="171" formatCode="_(\$* #,##0_);_(\$* \(#,##0\);_(\$* \-??_);_(@_)"/>
    <numFmt numFmtId="172" formatCode="mmmm\ d&quot;, &quot;yyyy;@"/>
    <numFmt numFmtId="173" formatCode="\$#,##0"/>
    <numFmt numFmtId="174" formatCode="_(* #,##0.00_);_(* \(#,##0.00\);_(* \-??_);_(@_)"/>
    <numFmt numFmtId="175" formatCode="_(* #,##0_);_(* \(#,##0\);_(* \-_);_(@_)"/>
    <numFmt numFmtId="176" formatCode="_(\$* #,##0_);_(\$* \(#,##0\);_(\$* \-_);_(@_)"/>
    <numFmt numFmtId="177" formatCode="#,##0.0"/>
    <numFmt numFmtId="178" formatCode="0.000000"/>
    <numFmt numFmtId="179" formatCode="0.0%"/>
    <numFmt numFmtId="180" formatCode="_(\$* #,##0.00000_);_(\$* \(#,##0.00000\);_(\$* \-??_);_(@_)"/>
    <numFmt numFmtId="181" formatCode=";;;"/>
    <numFmt numFmtId="182" formatCode="_(* #,##0.000_);_(* \(#,##0.000\);_(* \-??_);_(@_)"/>
    <numFmt numFmtId="183" formatCode="_(* #,##0_);_(* \(#,##0\);_(* \-??_);_(@_)"/>
    <numFmt numFmtId="184" formatCode="_(* #,##0.0_);_(* \(#,##0.0\);_(* \-?_);_(@_)"/>
    <numFmt numFmtId="185" formatCode="#,##0.000_);\(#,##0.000\)"/>
    <numFmt numFmtId="186" formatCode="#,##0.000"/>
    <numFmt numFmtId="187" formatCode="0.00000"/>
  </numFmts>
  <fonts count="95" x14ac:knownFonts="1">
    <font>
      <sz val="11"/>
      <color theme="1"/>
      <name val="Calibri"/>
      <family val="2"/>
      <scheme val="minor"/>
    </font>
    <font>
      <sz val="11"/>
      <color theme="1"/>
      <name val="Calibri"/>
      <family val="2"/>
      <scheme val="minor"/>
    </font>
    <font>
      <vertAlign val="superscript"/>
      <sz val="11"/>
      <color theme="1"/>
      <name val="Calibri"/>
      <family val="2"/>
      <scheme val="minor"/>
    </font>
    <font>
      <b/>
      <sz val="18"/>
      <color theme="1"/>
      <name val="Calibri"/>
      <family val="2"/>
      <scheme val="minor"/>
    </font>
    <font>
      <sz val="10"/>
      <name val="Arial"/>
      <family val="2"/>
    </font>
    <font>
      <sz val="9"/>
      <name val="Arial"/>
      <family val="2"/>
    </font>
    <font>
      <b/>
      <sz val="9"/>
      <name val="Arial"/>
      <family val="2"/>
    </font>
    <font>
      <sz val="10"/>
      <color rgb="FF000000"/>
      <name val="Calibri"/>
      <family val="2"/>
      <scheme val="minor"/>
    </font>
    <font>
      <b/>
      <sz val="16"/>
      <color theme="1"/>
      <name val="Calibri"/>
      <family val="2"/>
      <scheme val="minor"/>
    </font>
    <font>
      <b/>
      <sz val="11"/>
      <name val="Arial"/>
      <family val="2"/>
    </font>
    <font>
      <b/>
      <sz val="18"/>
      <color theme="1"/>
      <name val="Arial"/>
      <family val="2"/>
    </font>
    <font>
      <sz val="11"/>
      <color theme="1"/>
      <name val="Arial"/>
      <family val="2"/>
    </font>
    <font>
      <b/>
      <sz val="11"/>
      <color theme="1"/>
      <name val="Arial"/>
      <family val="2"/>
    </font>
    <font>
      <b/>
      <sz val="12"/>
      <color theme="1"/>
      <name val="Arial"/>
      <family val="2"/>
    </font>
    <font>
      <b/>
      <sz val="16"/>
      <name val="Arial"/>
      <family val="2"/>
    </font>
    <font>
      <b/>
      <sz val="16"/>
      <color theme="0"/>
      <name val="Arial"/>
      <family val="2"/>
    </font>
    <font>
      <sz val="10"/>
      <color indexed="8"/>
      <name val="Arial"/>
      <family val="2"/>
      <charset val="1"/>
    </font>
    <font>
      <b/>
      <sz val="11"/>
      <color theme="1"/>
      <name val="Calibri"/>
      <family val="2"/>
      <scheme val="minor"/>
    </font>
    <font>
      <sz val="11"/>
      <color indexed="8"/>
      <name val="Arial"/>
      <family val="2"/>
      <charset val="1"/>
    </font>
    <font>
      <b/>
      <sz val="10"/>
      <color indexed="8"/>
      <name val="Arial"/>
      <family val="2"/>
    </font>
    <font>
      <sz val="10"/>
      <name val="Arial"/>
      <family val="2"/>
      <charset val="1"/>
    </font>
    <font>
      <b/>
      <sz val="11"/>
      <name val="Arial"/>
      <family val="2"/>
      <charset val="1"/>
    </font>
    <font>
      <sz val="11"/>
      <name val="Arial"/>
      <family val="2"/>
      <charset val="1"/>
    </font>
    <font>
      <b/>
      <sz val="14"/>
      <name val="Arial"/>
      <family val="2"/>
      <charset val="1"/>
    </font>
    <font>
      <b/>
      <sz val="12"/>
      <name val="Arial"/>
      <family val="2"/>
      <charset val="1"/>
    </font>
    <font>
      <sz val="10"/>
      <name val="Mangal"/>
      <family val="2"/>
    </font>
    <font>
      <sz val="11"/>
      <color indexed="10"/>
      <name val="Arial"/>
      <family val="2"/>
      <charset val="1"/>
    </font>
    <font>
      <b/>
      <sz val="12"/>
      <color indexed="8"/>
      <name val="Arial"/>
      <family val="2"/>
      <charset val="1"/>
    </font>
    <font>
      <sz val="12"/>
      <color indexed="8"/>
      <name val="Arial"/>
      <family val="2"/>
      <charset val="1"/>
    </font>
    <font>
      <b/>
      <sz val="40"/>
      <color indexed="10"/>
      <name val="Arial"/>
      <family val="2"/>
      <charset val="1"/>
    </font>
    <font>
      <sz val="20"/>
      <color indexed="8"/>
      <name val="Arial"/>
      <family val="2"/>
      <charset val="1"/>
    </font>
    <font>
      <b/>
      <sz val="20"/>
      <color indexed="8"/>
      <name val="Arial"/>
      <family val="2"/>
      <charset val="1"/>
    </font>
    <font>
      <b/>
      <sz val="14"/>
      <color indexed="8"/>
      <name val="Arial"/>
      <family val="2"/>
      <charset val="1"/>
    </font>
    <font>
      <b/>
      <sz val="12"/>
      <color indexed="8"/>
      <name val="Arial"/>
      <family val="2"/>
    </font>
    <font>
      <sz val="16"/>
      <color indexed="8"/>
      <name val="Arial"/>
      <family val="2"/>
      <charset val="1"/>
    </font>
    <font>
      <b/>
      <sz val="20"/>
      <color indexed="8"/>
      <name val="Arial"/>
      <family val="2"/>
    </font>
    <font>
      <i/>
      <sz val="10"/>
      <color indexed="8"/>
      <name val="Arial"/>
      <family val="2"/>
      <charset val="1"/>
    </font>
    <font>
      <b/>
      <sz val="12"/>
      <color indexed="10"/>
      <name val="Arial"/>
      <family val="2"/>
      <charset val="1"/>
    </font>
    <font>
      <b/>
      <sz val="12"/>
      <color indexed="9"/>
      <name val="Arial"/>
      <family val="2"/>
      <charset val="1"/>
    </font>
    <font>
      <sz val="11"/>
      <color indexed="9"/>
      <name val="Arial"/>
      <family val="2"/>
      <charset val="1"/>
    </font>
    <font>
      <b/>
      <sz val="20"/>
      <color indexed="10"/>
      <name val="Arial"/>
      <family val="2"/>
      <charset val="1"/>
    </font>
    <font>
      <b/>
      <sz val="11"/>
      <color indexed="9"/>
      <name val="Arial"/>
      <family val="2"/>
      <charset val="1"/>
    </font>
    <font>
      <b/>
      <sz val="24"/>
      <color indexed="10"/>
      <name val="Arial"/>
      <family val="2"/>
      <charset val="1"/>
    </font>
    <font>
      <sz val="11"/>
      <color indexed="8"/>
      <name val="Calibri"/>
      <family val="2"/>
    </font>
    <font>
      <u/>
      <sz val="8"/>
      <color indexed="12"/>
      <name val="Arial"/>
      <family val="2"/>
      <charset val="1"/>
    </font>
    <font>
      <u/>
      <sz val="8.5"/>
      <color indexed="12"/>
      <name val="Arial"/>
      <family val="2"/>
      <charset val="1"/>
    </font>
    <font>
      <sz val="7"/>
      <name val="Small Fonts"/>
      <family val="2"/>
      <charset val="1"/>
    </font>
    <font>
      <sz val="11"/>
      <color indexed="8"/>
      <name val="Calibri"/>
      <family val="2"/>
      <charset val="1"/>
    </font>
    <font>
      <b/>
      <sz val="11"/>
      <color indexed="8"/>
      <name val="Arial"/>
      <family val="2"/>
    </font>
    <font>
      <sz val="9"/>
      <color theme="1"/>
      <name val="Arial"/>
      <family val="2"/>
    </font>
    <font>
      <sz val="11"/>
      <color theme="0" tint="-0.249977111117893"/>
      <name val="Arial"/>
      <family val="2"/>
    </font>
    <font>
      <sz val="11"/>
      <color rgb="FFFF0000"/>
      <name val="Arial"/>
      <family val="2"/>
      <charset val="1"/>
    </font>
    <font>
      <sz val="12"/>
      <color rgb="FFFF0000"/>
      <name val="Arial"/>
      <family val="2"/>
    </font>
    <font>
      <sz val="11"/>
      <name val="Calibri"/>
      <family val="2"/>
      <scheme val="minor"/>
    </font>
    <font>
      <sz val="11"/>
      <color theme="0"/>
      <name val="Calibri"/>
      <family val="2"/>
      <scheme val="minor"/>
    </font>
    <font>
      <sz val="10"/>
      <color theme="1"/>
      <name val="Arial"/>
      <family val="2"/>
    </font>
    <font>
      <sz val="8"/>
      <color theme="1"/>
      <name val="Arial"/>
      <family val="2"/>
    </font>
    <font>
      <sz val="11"/>
      <color theme="0"/>
      <name val="Arial"/>
      <family val="2"/>
    </font>
    <font>
      <sz val="12"/>
      <name val="Arial"/>
      <family val="2"/>
      <charset val="1"/>
    </font>
    <font>
      <b/>
      <sz val="10"/>
      <color indexed="8"/>
      <name val="Tahoma"/>
      <family val="2"/>
      <charset val="1"/>
    </font>
    <font>
      <b/>
      <sz val="12"/>
      <name val="Times New Roman"/>
      <family val="1"/>
      <charset val="1"/>
    </font>
    <font>
      <b/>
      <sz val="10"/>
      <name val="Arial"/>
      <family val="2"/>
      <charset val="1"/>
    </font>
    <font>
      <b/>
      <sz val="10"/>
      <color rgb="FFFFFFFF"/>
      <name val="Arial"/>
      <family val="2"/>
    </font>
    <font>
      <sz val="10"/>
      <color rgb="FF474746"/>
      <name val="Arial"/>
      <family val="2"/>
    </font>
    <font>
      <u/>
      <sz val="11"/>
      <color theme="10"/>
      <name val="Calibri"/>
      <family val="2"/>
      <scheme val="minor"/>
    </font>
    <font>
      <u/>
      <sz val="16"/>
      <color theme="3"/>
      <name val="Arial"/>
      <family val="2"/>
    </font>
    <font>
      <sz val="11"/>
      <color rgb="FFFF0000"/>
      <name val="Arial"/>
      <family val="2"/>
    </font>
    <font>
      <b/>
      <sz val="9"/>
      <color theme="1"/>
      <name val="Arial"/>
      <family val="2"/>
    </font>
    <font>
      <sz val="11"/>
      <color theme="9" tint="-0.249977111117893"/>
      <name val="Calibri"/>
      <family val="2"/>
      <scheme val="minor"/>
    </font>
    <font>
      <b/>
      <sz val="24"/>
      <color theme="3"/>
      <name val="Arial"/>
      <family val="2"/>
    </font>
    <font>
      <b/>
      <sz val="12"/>
      <color theme="3"/>
      <name val="Arial"/>
      <family val="2"/>
    </font>
    <font>
      <i/>
      <sz val="10"/>
      <name val="Arial"/>
      <family val="2"/>
    </font>
    <font>
      <b/>
      <sz val="10"/>
      <name val="Arial"/>
      <family val="2"/>
    </font>
    <font>
      <sz val="10"/>
      <color theme="0" tint="-0.14999847407452621"/>
      <name val="Arial"/>
      <family val="2"/>
    </font>
    <font>
      <sz val="10"/>
      <color theme="0"/>
      <name val="Arial"/>
      <family val="2"/>
      <charset val="1"/>
    </font>
    <font>
      <sz val="11"/>
      <color theme="0"/>
      <name val="Arial"/>
      <family val="2"/>
      <charset val="1"/>
    </font>
    <font>
      <b/>
      <sz val="12"/>
      <name val="Arial"/>
      <family val="2"/>
    </font>
    <font>
      <sz val="11"/>
      <color theme="0" tint="-0.34998626667073579"/>
      <name val="Calibri"/>
      <family val="2"/>
      <scheme val="minor"/>
    </font>
    <font>
      <sz val="10"/>
      <color theme="0" tint="-0.34998626667073579"/>
      <name val="Arial"/>
      <family val="2"/>
      <charset val="1"/>
    </font>
    <font>
      <b/>
      <sz val="14"/>
      <color theme="1"/>
      <name val="Arial"/>
      <family val="2"/>
    </font>
    <font>
      <sz val="14"/>
      <color theme="1"/>
      <name val="Arial"/>
      <family val="2"/>
    </font>
    <font>
      <sz val="11"/>
      <color theme="0" tint="-0.249977111117893"/>
      <name val="Calibri"/>
      <family val="2"/>
      <scheme val="minor"/>
    </font>
    <font>
      <sz val="10"/>
      <color theme="0" tint="-0.249977111117893"/>
      <name val="Arial"/>
      <family val="2"/>
      <charset val="1"/>
    </font>
    <font>
      <b/>
      <sz val="20"/>
      <color rgb="FF007299"/>
      <name val="Arial"/>
      <family val="2"/>
    </font>
    <font>
      <b/>
      <sz val="20"/>
      <color rgb="FFC00000"/>
      <name val="Arial"/>
      <family val="2"/>
    </font>
    <font>
      <b/>
      <sz val="11"/>
      <color rgb="FF007299"/>
      <name val="Calibri"/>
      <family val="2"/>
      <scheme val="minor"/>
    </font>
    <font>
      <sz val="11"/>
      <color rgb="FF000000"/>
      <name val="Calibri"/>
      <family val="2"/>
      <scheme val="minor"/>
    </font>
    <font>
      <sz val="8"/>
      <name val="Arial"/>
      <family val="2"/>
    </font>
    <font>
      <sz val="10"/>
      <color rgb="FFFF0000"/>
      <name val="Arial"/>
      <family val="2"/>
    </font>
    <font>
      <sz val="11"/>
      <color rgb="FF006100"/>
      <name val="Calibri"/>
      <family val="2"/>
      <scheme val="minor"/>
    </font>
    <font>
      <sz val="11"/>
      <color rgb="FF9C5700"/>
      <name val="Calibri"/>
      <family val="2"/>
      <scheme val="minor"/>
    </font>
    <font>
      <i/>
      <sz val="11"/>
      <color theme="1"/>
      <name val="Calibri"/>
      <family val="2"/>
      <scheme val="minor"/>
    </font>
    <font>
      <sz val="11"/>
      <color theme="0" tint="-0.14999847407452621"/>
      <name val="Calibri"/>
      <family val="2"/>
      <scheme val="minor"/>
    </font>
    <font>
      <sz val="9"/>
      <color indexed="81"/>
      <name val="Tahoma"/>
      <family val="2"/>
    </font>
    <font>
      <b/>
      <sz val="9"/>
      <color indexed="81"/>
      <name val="Tahoma"/>
      <family val="2"/>
    </font>
  </fonts>
  <fills count="33">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rgb="FFD9D9D9"/>
        <bgColor indexed="64"/>
      </patternFill>
    </fill>
    <fill>
      <patternFill patternType="solid">
        <fgColor rgb="FFFFFFFF"/>
        <bgColor indexed="64"/>
      </patternFill>
    </fill>
    <fill>
      <patternFill patternType="solid">
        <fgColor theme="0" tint="-0.249977111117893"/>
        <bgColor indexed="64"/>
      </patternFill>
    </fill>
    <fill>
      <patternFill patternType="solid">
        <fgColor rgb="FFFFFF99"/>
        <bgColor indexed="64"/>
      </patternFill>
    </fill>
    <fill>
      <patternFill patternType="solid">
        <fgColor rgb="FFFFCC99"/>
        <bgColor indexed="64"/>
      </patternFill>
    </fill>
    <fill>
      <patternFill patternType="solid">
        <fgColor rgb="FFCCFFCC"/>
        <bgColor indexed="64"/>
      </patternFill>
    </fill>
    <fill>
      <patternFill patternType="solid">
        <fgColor rgb="FFCCCCFF"/>
        <bgColor indexed="64"/>
      </patternFill>
    </fill>
    <fill>
      <patternFill patternType="solid">
        <fgColor indexed="9"/>
        <bgColor indexed="26"/>
      </patternFill>
    </fill>
    <fill>
      <patternFill patternType="solid">
        <fgColor theme="0" tint="-4.9989318521683403E-2"/>
        <bgColor indexed="26"/>
      </patternFill>
    </fill>
    <fill>
      <patternFill patternType="solid">
        <fgColor theme="0"/>
        <bgColor indexed="26"/>
      </patternFill>
    </fill>
    <fill>
      <patternFill patternType="solid">
        <fgColor indexed="44"/>
        <bgColor indexed="31"/>
      </patternFill>
    </fill>
    <fill>
      <patternFill patternType="solid">
        <fgColor rgb="FFFFFF00"/>
        <bgColor indexed="31"/>
      </patternFill>
    </fill>
    <fill>
      <patternFill patternType="solid">
        <fgColor rgb="FFFFFF00"/>
        <bgColor indexed="26"/>
      </patternFill>
    </fill>
    <fill>
      <patternFill patternType="solid">
        <fgColor indexed="48"/>
        <bgColor indexed="23"/>
      </patternFill>
    </fill>
    <fill>
      <patternFill patternType="solid">
        <fgColor indexed="46"/>
        <bgColor indexed="22"/>
      </patternFill>
    </fill>
    <fill>
      <patternFill patternType="solid">
        <fgColor rgb="FFFFC000"/>
        <bgColor indexed="64"/>
      </patternFill>
    </fill>
    <fill>
      <patternFill patternType="solid">
        <fgColor indexed="31"/>
        <bgColor indexed="44"/>
      </patternFill>
    </fill>
    <fill>
      <patternFill patternType="solid">
        <fgColor theme="0" tint="-0.249977111117893"/>
        <bgColor indexed="44"/>
      </patternFill>
    </fill>
    <fill>
      <patternFill patternType="solid">
        <fgColor rgb="FF1B315E"/>
        <bgColor indexed="64"/>
      </patternFill>
    </fill>
    <fill>
      <patternFill patternType="solid">
        <fgColor rgb="FFF6C067"/>
        <bgColor indexed="64"/>
      </patternFill>
    </fill>
    <fill>
      <patternFill patternType="solid">
        <fgColor rgb="FFEA8E3F"/>
        <bgColor indexed="64"/>
      </patternFill>
    </fill>
    <fill>
      <patternFill patternType="solid">
        <fgColor theme="9" tint="0.59999389629810485"/>
        <bgColor indexed="64"/>
      </patternFill>
    </fill>
    <fill>
      <patternFill patternType="solid">
        <fgColor theme="0" tint="-0.14999847407452621"/>
        <bgColor indexed="26"/>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rgb="FFC6EFCE"/>
      </patternFill>
    </fill>
    <fill>
      <patternFill patternType="solid">
        <fgColor rgb="FFFFEB9C"/>
      </patternFill>
    </fill>
  </fills>
  <borders count="10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top style="medium">
        <color indexed="64"/>
      </top>
      <bottom/>
      <diagonal/>
    </border>
    <border>
      <left/>
      <right/>
      <top/>
      <bottom style="medium">
        <color indexed="64"/>
      </bottom>
      <diagonal/>
    </border>
    <border>
      <left style="thin">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bottom style="thin">
        <color indexed="8"/>
      </bottom>
      <diagonal/>
    </border>
    <border>
      <left/>
      <right/>
      <top style="thin">
        <color indexed="8"/>
      </top>
      <bottom style="thin">
        <color indexed="8"/>
      </bottom>
      <diagonal/>
    </border>
    <border>
      <left/>
      <right/>
      <top style="thin">
        <color indexed="8"/>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64"/>
      </bottom>
      <diagonal/>
    </border>
    <border>
      <left/>
      <right/>
      <top style="thin">
        <color indexed="64"/>
      </top>
      <bottom/>
      <diagonal/>
    </border>
    <border>
      <left style="thin">
        <color indexed="8"/>
      </left>
      <right style="thin">
        <color indexed="8"/>
      </right>
      <top style="thin">
        <color indexed="8"/>
      </top>
      <bottom style="medium">
        <color indexed="10"/>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top style="thin">
        <color indexed="64"/>
      </top>
      <bottom/>
      <diagonal/>
    </border>
    <border>
      <left/>
      <right style="thin">
        <color indexed="8"/>
      </right>
      <top style="thin">
        <color indexed="64"/>
      </top>
      <bottom/>
      <diagonal/>
    </border>
    <border>
      <left/>
      <right style="medium">
        <color indexed="64"/>
      </right>
      <top style="medium">
        <color indexed="64"/>
      </top>
      <bottom style="medium">
        <color indexed="64"/>
      </bottom>
      <diagonal/>
    </border>
    <border>
      <left/>
      <right style="thick">
        <color indexed="64"/>
      </right>
      <top/>
      <bottom/>
      <diagonal/>
    </border>
    <border>
      <left style="thick">
        <color indexed="64"/>
      </left>
      <right/>
      <top/>
      <bottom/>
      <diagonal/>
    </border>
    <border>
      <left style="thin">
        <color indexed="64"/>
      </left>
      <right/>
      <top/>
      <bottom/>
      <diagonal/>
    </border>
    <border>
      <left/>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thin">
        <color indexed="64"/>
      </right>
      <top style="medium">
        <color indexed="64"/>
      </top>
      <bottom style="thin">
        <color indexed="8"/>
      </bottom>
      <diagonal/>
    </border>
    <border>
      <left style="thin">
        <color indexed="8"/>
      </left>
      <right style="thin">
        <color indexed="8"/>
      </right>
      <top style="thin">
        <color indexed="8"/>
      </top>
      <bottom style="medium">
        <color indexed="64"/>
      </bottom>
      <diagonal/>
    </border>
    <border>
      <left style="thin">
        <color indexed="8"/>
      </left>
      <right/>
      <top style="thin">
        <color indexed="8"/>
      </top>
      <bottom style="medium">
        <color indexed="64"/>
      </bottom>
      <diagonal/>
    </border>
    <border>
      <left style="medium">
        <color indexed="64"/>
      </left>
      <right/>
      <top style="medium">
        <color indexed="64"/>
      </top>
      <bottom style="thin">
        <color indexed="8"/>
      </bottom>
      <diagonal/>
    </border>
    <border>
      <left style="thin">
        <color indexed="8"/>
      </left>
      <right style="thin">
        <color indexed="8"/>
      </right>
      <top style="medium">
        <color indexed="64"/>
      </top>
      <bottom/>
      <diagonal/>
    </border>
    <border>
      <left style="thin">
        <color indexed="8"/>
      </left>
      <right style="medium">
        <color indexed="64"/>
      </right>
      <top style="medium">
        <color indexed="64"/>
      </top>
      <bottom/>
      <diagonal/>
    </border>
    <border>
      <left style="medium">
        <color indexed="64"/>
      </left>
      <right/>
      <top style="thin">
        <color indexed="8"/>
      </top>
      <bottom style="thin">
        <color indexed="8"/>
      </bottom>
      <diagonal/>
    </border>
    <border>
      <left style="medium">
        <color indexed="64"/>
      </left>
      <right/>
      <top style="thin">
        <color indexed="8"/>
      </top>
      <bottom style="medium">
        <color indexed="64"/>
      </bottom>
      <diagonal/>
    </border>
    <border>
      <left style="medium">
        <color rgb="FFFFFFFF"/>
      </left>
      <right style="medium">
        <color rgb="FFFFFFFF"/>
      </right>
      <top style="medium">
        <color rgb="FFFFFFFF"/>
      </top>
      <bottom style="medium">
        <color rgb="FFFFFFFF"/>
      </bottom>
      <diagonal/>
    </border>
    <border>
      <left/>
      <right style="medium">
        <color rgb="FFFFFFFF"/>
      </right>
      <top style="medium">
        <color rgb="FFFFFFFF"/>
      </top>
      <bottom style="medium">
        <color rgb="FFFFFFFF"/>
      </bottom>
      <diagonal/>
    </border>
    <border>
      <left style="medium">
        <color rgb="FFFFFFFF"/>
      </left>
      <right style="medium">
        <color rgb="FFFFFFFF"/>
      </right>
      <top/>
      <bottom style="medium">
        <color rgb="FFFFFFFF"/>
      </bottom>
      <diagonal/>
    </border>
    <border>
      <left style="medium">
        <color rgb="FFFFFFFF"/>
      </left>
      <right style="medium">
        <color rgb="FFFFFFFF"/>
      </right>
      <top/>
      <bottom/>
      <diagonal/>
    </border>
    <border>
      <left/>
      <right style="medium">
        <color rgb="FFFFFFFF"/>
      </right>
      <top/>
      <bottom style="medium">
        <color rgb="FFFFFFFF"/>
      </bottom>
      <diagonal/>
    </border>
    <border>
      <left/>
      <right style="medium">
        <color rgb="FFFFFFFF"/>
      </right>
      <top/>
      <bottom/>
      <diagonal/>
    </border>
    <border>
      <left style="medium">
        <color rgb="FFFFFFFF"/>
      </left>
      <right style="medium">
        <color rgb="FFFFFFFF"/>
      </right>
      <top style="medium">
        <color rgb="FFFFFFFF"/>
      </top>
      <bottom/>
      <diagonal/>
    </border>
    <border>
      <left/>
      <right style="medium">
        <color rgb="FFFFFFFF"/>
      </right>
      <top style="medium">
        <color rgb="FFFFFFFF"/>
      </top>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style="thin">
        <color indexed="64"/>
      </top>
      <bottom/>
      <diagonal/>
    </border>
    <border>
      <left style="double">
        <color indexed="64"/>
      </left>
      <right/>
      <top/>
      <bottom/>
      <diagonal/>
    </border>
    <border>
      <left style="double">
        <color indexed="64"/>
      </left>
      <right style="thin">
        <color indexed="64"/>
      </right>
      <top style="thin">
        <color indexed="64"/>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double">
        <color indexed="64"/>
      </left>
      <right style="thin">
        <color indexed="64"/>
      </right>
      <top/>
      <bottom style="medium">
        <color indexed="64"/>
      </bottom>
      <diagonal/>
    </border>
    <border>
      <left style="double">
        <color indexed="64"/>
      </left>
      <right style="thin">
        <color indexed="64"/>
      </right>
      <top style="medium">
        <color indexed="64"/>
      </top>
      <bottom style="thin">
        <color indexed="64"/>
      </bottom>
      <diagonal/>
    </border>
    <border>
      <left style="medium">
        <color indexed="64"/>
      </left>
      <right/>
      <top/>
      <bottom/>
      <diagonal/>
    </border>
    <border>
      <left/>
      <right/>
      <top style="medium">
        <color indexed="64"/>
      </top>
      <bottom style="medium">
        <color indexed="64"/>
      </bottom>
      <diagonal/>
    </border>
    <border>
      <left style="thin">
        <color indexed="64"/>
      </left>
      <right/>
      <top style="medium">
        <color indexed="64"/>
      </top>
      <bottom/>
      <diagonal/>
    </border>
  </borders>
  <cellStyleXfs count="93">
    <xf numFmtId="0" fontId="0" fillId="0" borderId="0"/>
    <xf numFmtId="0" fontId="4" fillId="0" borderId="0"/>
    <xf numFmtId="9" fontId="4" fillId="0" borderId="0" applyFont="0" applyFill="0" applyBorder="0" applyAlignment="0" applyProtection="0"/>
    <xf numFmtId="0" fontId="1" fillId="0" borderId="0"/>
    <xf numFmtId="0" fontId="4" fillId="0" borderId="0"/>
    <xf numFmtId="0" fontId="4" fillId="0" borderId="0"/>
    <xf numFmtId="0" fontId="4" fillId="0" borderId="0"/>
    <xf numFmtId="0" fontId="4" fillId="0" borderId="0"/>
    <xf numFmtId="44" fontId="1" fillId="0" borderId="0" applyFont="0" applyFill="0" applyBorder="0" applyAlignment="0" applyProtection="0"/>
    <xf numFmtId="9" fontId="1" fillId="0" borderId="0" applyFont="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25" fillId="0" borderId="0" applyFill="0" applyBorder="0" applyAlignment="0" applyProtection="0"/>
    <xf numFmtId="174" fontId="43" fillId="0" borderId="0" applyFill="0" applyBorder="0" applyAlignment="0" applyProtection="0"/>
    <xf numFmtId="167" fontId="25" fillId="0" borderId="0" applyFill="0" applyBorder="0" applyAlignment="0" applyProtection="0"/>
    <xf numFmtId="167" fontId="25" fillId="0" borderId="0" applyFill="0" applyBorder="0" applyAlignment="0" applyProtection="0"/>
    <xf numFmtId="167" fontId="25" fillId="0" borderId="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37" fontId="46" fillId="0" borderId="0"/>
    <xf numFmtId="0" fontId="47" fillId="0" borderId="0"/>
    <xf numFmtId="0" fontId="20" fillId="0" borderId="0"/>
    <xf numFmtId="0" fontId="43" fillId="0" borderId="0"/>
    <xf numFmtId="0" fontId="20" fillId="0" borderId="0"/>
    <xf numFmtId="0" fontId="20" fillId="0" borderId="0"/>
    <xf numFmtId="0" fontId="20"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20" fillId="0" borderId="0"/>
    <xf numFmtId="0" fontId="20" fillId="0" borderId="0"/>
    <xf numFmtId="0" fontId="47" fillId="0" borderId="0"/>
    <xf numFmtId="0" fontId="47" fillId="0" borderId="0"/>
    <xf numFmtId="0" fontId="47" fillId="0" borderId="0"/>
    <xf numFmtId="0" fontId="47" fillId="0" borderId="0"/>
    <xf numFmtId="0" fontId="47" fillId="0" borderId="0"/>
    <xf numFmtId="0" fontId="47" fillId="0" borderId="0"/>
    <xf numFmtId="9" fontId="25" fillId="0" borderId="0" applyFill="0" applyBorder="0" applyAlignment="0" applyProtection="0"/>
    <xf numFmtId="9" fontId="25" fillId="0" borderId="0" applyFill="0" applyBorder="0" applyAlignment="0" applyProtection="0"/>
    <xf numFmtId="9" fontId="25" fillId="0" borderId="0" applyFill="0" applyBorder="0" applyAlignment="0" applyProtection="0"/>
    <xf numFmtId="9" fontId="25" fillId="0" borderId="0" applyFill="0" applyBorder="0" applyAlignment="0" applyProtection="0"/>
    <xf numFmtId="9" fontId="25" fillId="0" borderId="0" applyFill="0" applyBorder="0" applyAlignment="0" applyProtection="0"/>
    <xf numFmtId="9" fontId="25" fillId="0" borderId="0" applyFill="0" applyBorder="0" applyAlignment="0" applyProtection="0"/>
    <xf numFmtId="9" fontId="25" fillId="0" borderId="0" applyFill="0" applyBorder="0" applyAlignment="0" applyProtection="0"/>
    <xf numFmtId="9" fontId="25" fillId="0" borderId="0" applyFill="0" applyBorder="0" applyAlignment="0" applyProtection="0"/>
    <xf numFmtId="9" fontId="25" fillId="0" borderId="0" applyFill="0" applyBorder="0" applyAlignment="0" applyProtection="0"/>
    <xf numFmtId="9" fontId="25" fillId="0" borderId="0" applyFill="0" applyBorder="0" applyAlignment="0" applyProtection="0"/>
    <xf numFmtId="9" fontId="25" fillId="0" borderId="0" applyFill="0" applyBorder="0" applyAlignment="0" applyProtection="0"/>
    <xf numFmtId="9" fontId="25" fillId="0" borderId="0" applyFill="0" applyBorder="0" applyAlignment="0" applyProtection="0"/>
    <xf numFmtId="9" fontId="25" fillId="0" borderId="0" applyFill="0" applyBorder="0" applyAlignment="0" applyProtection="0"/>
    <xf numFmtId="9" fontId="25" fillId="0" borderId="0" applyFill="0" applyBorder="0" applyAlignment="0" applyProtection="0"/>
    <xf numFmtId="9" fontId="25" fillId="0" borderId="0" applyFill="0" applyBorder="0" applyAlignment="0" applyProtection="0"/>
    <xf numFmtId="9" fontId="25" fillId="0" borderId="0" applyFill="0" applyBorder="0" applyAlignment="0" applyProtection="0"/>
    <xf numFmtId="9" fontId="25" fillId="0" borderId="0" applyFill="0" applyBorder="0" applyAlignment="0" applyProtection="0"/>
    <xf numFmtId="9" fontId="25" fillId="0" borderId="0" applyFill="0" applyBorder="0" applyAlignment="0" applyProtection="0"/>
    <xf numFmtId="9" fontId="25" fillId="0" borderId="0" applyFill="0" applyBorder="0" applyAlignment="0" applyProtection="0"/>
    <xf numFmtId="9" fontId="25" fillId="0" borderId="0" applyFill="0" applyBorder="0" applyAlignment="0" applyProtection="0"/>
    <xf numFmtId="9" fontId="25" fillId="0" borderId="0" applyFill="0" applyBorder="0" applyAlignment="0" applyProtection="0"/>
    <xf numFmtId="9" fontId="25" fillId="0" borderId="0" applyFill="0" applyBorder="0" applyAlignment="0" applyProtection="0"/>
    <xf numFmtId="9" fontId="25" fillId="0" borderId="0" applyFill="0" applyBorder="0" applyAlignment="0" applyProtection="0"/>
    <xf numFmtId="9" fontId="25" fillId="0" borderId="0" applyFill="0" applyBorder="0" applyAlignment="0" applyProtection="0"/>
    <xf numFmtId="0" fontId="64" fillId="0" borderId="0" applyNumberFormat="0" applyFill="0" applyBorder="0" applyAlignment="0" applyProtection="0"/>
    <xf numFmtId="0" fontId="89" fillId="31" borderId="0" applyNumberFormat="0" applyBorder="0" applyAlignment="0" applyProtection="0"/>
    <xf numFmtId="0" fontId="90" fillId="32" borderId="0" applyNumberFormat="0" applyBorder="0" applyAlignment="0" applyProtection="0"/>
  </cellStyleXfs>
  <cellXfs count="964">
    <xf numFmtId="0" fontId="0" fillId="0" borderId="0" xfId="0"/>
    <xf numFmtId="0" fontId="0" fillId="2" borderId="0" xfId="0" applyFill="1"/>
    <xf numFmtId="0" fontId="0" fillId="0" borderId="0" xfId="0" applyAlignment="1">
      <alignment horizontal="center"/>
    </xf>
    <xf numFmtId="0" fontId="0" fillId="0" borderId="0" xfId="0" applyAlignment="1">
      <alignment horizontal="center" vertical="center"/>
    </xf>
    <xf numFmtId="0" fontId="0" fillId="2" borderId="0" xfId="0" applyFill="1" applyAlignment="1">
      <alignment horizontal="center" vertical="center"/>
    </xf>
    <xf numFmtId="0" fontId="0" fillId="2" borderId="0" xfId="0" applyFill="1" applyAlignment="1">
      <alignment horizontal="center"/>
    </xf>
    <xf numFmtId="0" fontId="0" fillId="2" borderId="0" xfId="0" applyFill="1" applyAlignment="1">
      <alignment horizontal="left"/>
    </xf>
    <xf numFmtId="0" fontId="0" fillId="2" borderId="4" xfId="0" applyFill="1" applyBorder="1" applyAlignment="1">
      <alignment horizontal="center"/>
    </xf>
    <xf numFmtId="164" fontId="0" fillId="2" borderId="4" xfId="0" applyNumberFormat="1" applyFill="1" applyBorder="1" applyAlignment="1">
      <alignment horizontal="center"/>
    </xf>
    <xf numFmtId="0" fontId="0" fillId="2" borderId="11" xfId="0" applyFill="1" applyBorder="1" applyAlignment="1">
      <alignment horizontal="center"/>
    </xf>
    <xf numFmtId="0" fontId="0" fillId="2" borderId="10" xfId="0" applyFill="1" applyBorder="1" applyAlignment="1">
      <alignment horizontal="center"/>
    </xf>
    <xf numFmtId="164" fontId="0" fillId="2" borderId="10" xfId="0" applyNumberFormat="1" applyFill="1" applyBorder="1" applyAlignment="1">
      <alignment horizontal="center"/>
    </xf>
    <xf numFmtId="0" fontId="0" fillId="2" borderId="16" xfId="0" applyFill="1" applyBorder="1" applyAlignment="1">
      <alignment horizontal="left" vertical="center"/>
    </xf>
    <xf numFmtId="164" fontId="0" fillId="2" borderId="11" xfId="0" applyNumberFormat="1" applyFill="1" applyBorder="1" applyAlignment="1">
      <alignment horizontal="center"/>
    </xf>
    <xf numFmtId="164" fontId="0" fillId="2" borderId="0" xfId="0" applyNumberFormat="1" applyFill="1" applyAlignment="1">
      <alignment horizontal="center"/>
    </xf>
    <xf numFmtId="0" fontId="0" fillId="2" borderId="0" xfId="0" applyFill="1" applyAlignment="1">
      <alignment horizontal="left" vertical="center"/>
    </xf>
    <xf numFmtId="164" fontId="0" fillId="2" borderId="0" xfId="0" applyNumberFormat="1" applyFill="1" applyAlignment="1">
      <alignment horizontal="center" vertical="center"/>
    </xf>
    <xf numFmtId="0" fontId="0" fillId="2" borderId="12" xfId="0" applyFill="1" applyBorder="1" applyAlignment="1">
      <alignment horizontal="center" vertical="center"/>
    </xf>
    <xf numFmtId="0" fontId="0" fillId="2" borderId="15" xfId="0" applyFill="1" applyBorder="1" applyAlignment="1">
      <alignment horizontal="center" vertical="center"/>
    </xf>
    <xf numFmtId="0" fontId="0" fillId="2" borderId="13" xfId="0" applyFill="1" applyBorder="1" applyAlignment="1">
      <alignment horizontal="center" vertical="center"/>
    </xf>
    <xf numFmtId="164" fontId="0" fillId="2" borderId="15" xfId="0" applyNumberFormat="1" applyFill="1" applyBorder="1" applyAlignment="1">
      <alignment horizontal="center" vertical="center"/>
    </xf>
    <xf numFmtId="164" fontId="0" fillId="2" borderId="13" xfId="0" applyNumberFormat="1" applyFill="1" applyBorder="1" applyAlignment="1">
      <alignment horizontal="center" vertical="center"/>
    </xf>
    <xf numFmtId="164" fontId="0" fillId="2" borderId="12" xfId="0" applyNumberFormat="1" applyFill="1" applyBorder="1" applyAlignment="1">
      <alignment horizontal="center" vertical="center"/>
    </xf>
    <xf numFmtId="164" fontId="0" fillId="2" borderId="7" xfId="0" applyNumberFormat="1" applyFill="1" applyBorder="1" applyAlignment="1">
      <alignment horizontal="center" vertical="center"/>
    </xf>
    <xf numFmtId="0" fontId="0" fillId="4" borderId="10" xfId="0" applyFill="1" applyBorder="1" applyAlignment="1">
      <alignment horizontal="center"/>
    </xf>
    <xf numFmtId="0" fontId="0" fillId="4" borderId="4" xfId="0" applyFill="1" applyBorder="1" applyAlignment="1">
      <alignment horizontal="center"/>
    </xf>
    <xf numFmtId="0" fontId="0" fillId="4" borderId="11" xfId="0" applyFill="1" applyBorder="1" applyAlignment="1">
      <alignment horizontal="center"/>
    </xf>
    <xf numFmtId="164" fontId="0" fillId="2" borderId="10" xfId="0" applyNumberFormat="1" applyFill="1" applyBorder="1" applyAlignment="1">
      <alignment horizontal="center" vertical="center"/>
    </xf>
    <xf numFmtId="0" fontId="3" fillId="2" borderId="0" xfId="0" applyFont="1" applyFill="1"/>
    <xf numFmtId="0" fontId="0" fillId="2" borderId="19" xfId="0" applyFill="1" applyBorder="1" applyAlignment="1">
      <alignment horizontal="center" vertical="center"/>
    </xf>
    <xf numFmtId="0" fontId="0" fillId="4" borderId="7" xfId="0" applyFill="1" applyBorder="1" applyAlignment="1">
      <alignment horizontal="center"/>
    </xf>
    <xf numFmtId="0" fontId="1" fillId="0" borderId="0" xfId="3" applyAlignment="1">
      <alignment vertical="center"/>
    </xf>
    <xf numFmtId="0" fontId="1" fillId="0" borderId="0" xfId="3" applyAlignment="1">
      <alignment horizontal="center" vertical="center"/>
    </xf>
    <xf numFmtId="0" fontId="1" fillId="4" borderId="16" xfId="3" applyFill="1" applyBorder="1" applyAlignment="1">
      <alignment horizontal="left" vertical="center"/>
    </xf>
    <xf numFmtId="0" fontId="1" fillId="4" borderId="11" xfId="3" applyFill="1" applyBorder="1" applyAlignment="1">
      <alignment horizontal="center" vertical="center"/>
    </xf>
    <xf numFmtId="0" fontId="1" fillId="0" borderId="0" xfId="3" applyAlignment="1">
      <alignment vertical="center" wrapText="1"/>
    </xf>
    <xf numFmtId="0" fontId="1" fillId="2" borderId="0" xfId="3" applyFill="1" applyAlignment="1">
      <alignment vertical="center"/>
    </xf>
    <xf numFmtId="0" fontId="1" fillId="2" borderId="0" xfId="3" applyFill="1" applyAlignment="1">
      <alignment horizontal="center" vertical="center"/>
    </xf>
    <xf numFmtId="0" fontId="3" fillId="2" borderId="0" xfId="3" applyFont="1" applyFill="1" applyAlignment="1">
      <alignment vertical="center"/>
    </xf>
    <xf numFmtId="0" fontId="1" fillId="4" borderId="11" xfId="3" applyFill="1" applyBorder="1" applyAlignment="1">
      <alignment horizontal="center" vertical="center" wrapText="1"/>
    </xf>
    <xf numFmtId="0" fontId="1" fillId="4" borderId="17" xfId="3" applyFill="1" applyBorder="1" applyAlignment="1">
      <alignment horizontal="left" vertical="center"/>
    </xf>
    <xf numFmtId="0" fontId="1" fillId="4" borderId="4" xfId="3" applyFill="1" applyBorder="1" applyAlignment="1">
      <alignment horizontal="center" vertical="center" wrapText="1"/>
    </xf>
    <xf numFmtId="0" fontId="0" fillId="4" borderId="4" xfId="3" applyFont="1" applyFill="1" applyBorder="1" applyAlignment="1">
      <alignment horizontal="center" vertical="center" wrapText="1"/>
    </xf>
    <xf numFmtId="0" fontId="1" fillId="4" borderId="4" xfId="3" applyFill="1" applyBorder="1" applyAlignment="1">
      <alignment horizontal="center" vertical="center"/>
    </xf>
    <xf numFmtId="0" fontId="1" fillId="4" borderId="4" xfId="3" applyFill="1" applyBorder="1" applyAlignment="1">
      <alignment horizontal="left" vertical="center"/>
    </xf>
    <xf numFmtId="164" fontId="1" fillId="2" borderId="4" xfId="3" applyNumberFormat="1" applyFill="1" applyBorder="1" applyAlignment="1">
      <alignment horizontal="center" vertical="center"/>
    </xf>
    <xf numFmtId="164" fontId="1" fillId="0" borderId="4" xfId="3" applyNumberFormat="1" applyBorder="1" applyAlignment="1">
      <alignment horizontal="center" vertical="center"/>
    </xf>
    <xf numFmtId="0" fontId="0" fillId="2" borderId="0" xfId="3" applyFont="1" applyFill="1" applyAlignment="1">
      <alignment vertical="center"/>
    </xf>
    <xf numFmtId="0" fontId="1" fillId="0" borderId="0" xfId="3" applyAlignment="1">
      <alignment horizontal="center" vertical="center" wrapText="1"/>
    </xf>
    <xf numFmtId="0" fontId="1" fillId="4" borderId="4" xfId="3" applyFill="1" applyBorder="1" applyAlignment="1">
      <alignment horizontal="left" vertical="center" wrapText="1"/>
    </xf>
    <xf numFmtId="2" fontId="1" fillId="0" borderId="4" xfId="3" quotePrefix="1" applyNumberFormat="1" applyBorder="1" applyAlignment="1">
      <alignment horizontal="center" vertical="center" wrapText="1"/>
    </xf>
    <xf numFmtId="2" fontId="1" fillId="0" borderId="4" xfId="3" applyNumberFormat="1" applyBorder="1" applyAlignment="1">
      <alignment horizontal="center" vertical="center" wrapText="1"/>
    </xf>
    <xf numFmtId="164" fontId="1" fillId="2" borderId="10" xfId="3" applyNumberFormat="1" applyFill="1" applyBorder="1" applyAlignment="1">
      <alignment horizontal="center" vertical="center"/>
    </xf>
    <xf numFmtId="164" fontId="1" fillId="2" borderId="12" xfId="3" applyNumberFormat="1" applyFill="1" applyBorder="1" applyAlignment="1">
      <alignment horizontal="center" vertical="center"/>
    </xf>
    <xf numFmtId="164" fontId="1" fillId="2" borderId="15" xfId="3" applyNumberFormat="1" applyFill="1" applyBorder="1" applyAlignment="1">
      <alignment horizontal="center" vertical="center"/>
    </xf>
    <xf numFmtId="0" fontId="1" fillId="4" borderId="10" xfId="3" applyFill="1" applyBorder="1" applyAlignment="1">
      <alignment horizontal="center" vertical="center" wrapText="1"/>
    </xf>
    <xf numFmtId="164" fontId="1" fillId="2" borderId="11" xfId="3" applyNumberFormat="1" applyFill="1" applyBorder="1" applyAlignment="1">
      <alignment horizontal="center" vertical="center"/>
    </xf>
    <xf numFmtId="164" fontId="1" fillId="2" borderId="13" xfId="3" applyNumberFormat="1" applyFill="1" applyBorder="1" applyAlignment="1">
      <alignment horizontal="center" vertical="center"/>
    </xf>
    <xf numFmtId="0" fontId="0" fillId="4" borderId="12" xfId="3" applyFont="1" applyFill="1" applyBorder="1" applyAlignment="1">
      <alignment horizontal="center" vertical="center" wrapText="1"/>
    </xf>
    <xf numFmtId="0" fontId="0" fillId="4" borderId="15" xfId="3" applyFont="1" applyFill="1" applyBorder="1" applyAlignment="1">
      <alignment horizontal="center" vertical="center" wrapText="1"/>
    </xf>
    <xf numFmtId="0" fontId="0" fillId="4" borderId="13" xfId="3" applyFont="1" applyFill="1" applyBorder="1" applyAlignment="1">
      <alignment horizontal="center" vertical="center" wrapText="1"/>
    </xf>
    <xf numFmtId="0" fontId="1" fillId="2" borderId="16" xfId="3" applyFill="1" applyBorder="1" applyAlignment="1">
      <alignment horizontal="left" vertical="center"/>
    </xf>
    <xf numFmtId="0" fontId="0" fillId="4" borderId="15" xfId="3" applyFont="1" applyFill="1" applyBorder="1" applyAlignment="1">
      <alignment horizontal="center" vertical="center"/>
    </xf>
    <xf numFmtId="0" fontId="0" fillId="4" borderId="12" xfId="3" applyFont="1" applyFill="1" applyBorder="1" applyAlignment="1">
      <alignment horizontal="center" vertical="center"/>
    </xf>
    <xf numFmtId="164" fontId="0" fillId="0" borderId="0" xfId="0" applyNumberFormat="1"/>
    <xf numFmtId="0" fontId="0" fillId="3" borderId="10" xfId="0" applyFill="1" applyBorder="1" applyAlignment="1">
      <alignment horizontal="center"/>
    </xf>
    <xf numFmtId="0" fontId="0" fillId="3" borderId="11" xfId="0" applyFill="1" applyBorder="1" applyAlignment="1">
      <alignment horizontal="center"/>
    </xf>
    <xf numFmtId="0" fontId="0" fillId="3" borderId="4" xfId="3" applyFont="1" applyFill="1" applyBorder="1" applyAlignment="1">
      <alignment horizontal="center" vertical="center" wrapText="1"/>
    </xf>
    <xf numFmtId="164" fontId="1" fillId="3" borderId="4" xfId="3" applyNumberFormat="1" applyFill="1" applyBorder="1" applyAlignment="1">
      <alignment horizontal="center" vertical="center"/>
    </xf>
    <xf numFmtId="0" fontId="0" fillId="3" borderId="10" xfId="3" applyFont="1" applyFill="1" applyBorder="1" applyAlignment="1">
      <alignment horizontal="center" vertical="center"/>
    </xf>
    <xf numFmtId="0" fontId="0" fillId="3" borderId="11" xfId="3" applyFont="1" applyFill="1" applyBorder="1" applyAlignment="1">
      <alignment horizontal="center" vertical="center"/>
    </xf>
    <xf numFmtId="2" fontId="0" fillId="3" borderId="10" xfId="3" applyNumberFormat="1" applyFont="1" applyFill="1" applyBorder="1" applyAlignment="1">
      <alignment horizontal="center" vertical="center"/>
    </xf>
    <xf numFmtId="2" fontId="0" fillId="3" borderId="11" xfId="3" applyNumberFormat="1" applyFont="1" applyFill="1" applyBorder="1" applyAlignment="1">
      <alignment horizontal="center" vertical="center"/>
    </xf>
    <xf numFmtId="0" fontId="1" fillId="4" borderId="45" xfId="3" applyFill="1" applyBorder="1" applyAlignment="1">
      <alignment horizontal="center" vertical="center" wrapText="1"/>
    </xf>
    <xf numFmtId="0" fontId="0" fillId="0" borderId="0" xfId="3" applyFont="1" applyAlignment="1">
      <alignment horizontal="center" vertical="center" wrapText="1"/>
    </xf>
    <xf numFmtId="164" fontId="7" fillId="6" borderId="4" xfId="0" applyNumberFormat="1" applyFont="1" applyFill="1" applyBorder="1" applyAlignment="1">
      <alignment horizontal="center" vertical="center"/>
    </xf>
    <xf numFmtId="0" fontId="7" fillId="5" borderId="4" xfId="0" applyFont="1" applyFill="1" applyBorder="1" applyAlignment="1">
      <alignment horizontal="center" vertical="center"/>
    </xf>
    <xf numFmtId="0" fontId="7" fillId="6" borderId="4" xfId="0" applyFont="1" applyFill="1" applyBorder="1" applyAlignment="1">
      <alignment horizontal="center" vertical="center"/>
    </xf>
    <xf numFmtId="0" fontId="7" fillId="4" borderId="4" xfId="0" applyFont="1" applyFill="1" applyBorder="1" applyAlignment="1">
      <alignment horizontal="center" vertical="center"/>
    </xf>
    <xf numFmtId="0" fontId="0" fillId="4" borderId="4" xfId="0" applyFill="1" applyBorder="1" applyAlignment="1">
      <alignment horizontal="center" vertical="center"/>
    </xf>
    <xf numFmtId="0" fontId="0" fillId="4" borderId="4" xfId="0" applyFill="1" applyBorder="1" applyAlignment="1">
      <alignment horizontal="left"/>
    </xf>
    <xf numFmtId="0" fontId="0" fillId="2" borderId="4" xfId="0" applyFill="1" applyBorder="1"/>
    <xf numFmtId="0" fontId="0" fillId="2" borderId="4" xfId="0" applyFill="1" applyBorder="1" applyAlignment="1">
      <alignment horizontal="left"/>
    </xf>
    <xf numFmtId="2" fontId="0" fillId="3" borderId="10" xfId="0" applyNumberFormat="1" applyFill="1" applyBorder="1" applyAlignment="1">
      <alignment horizontal="center"/>
    </xf>
    <xf numFmtId="2" fontId="0" fillId="3" borderId="11" xfId="0" applyNumberFormat="1" applyFill="1" applyBorder="1" applyAlignment="1">
      <alignment horizontal="center"/>
    </xf>
    <xf numFmtId="0" fontId="0" fillId="4" borderId="0" xfId="0" applyFill="1"/>
    <xf numFmtId="0" fontId="0" fillId="4" borderId="0" xfId="0" applyFill="1" applyAlignment="1">
      <alignment horizontal="left"/>
    </xf>
    <xf numFmtId="0" fontId="0" fillId="0" borderId="0" xfId="0" applyAlignment="1">
      <alignment horizontal="left"/>
    </xf>
    <xf numFmtId="0" fontId="8" fillId="0" borderId="0" xfId="0" applyFont="1"/>
    <xf numFmtId="164" fontId="1" fillId="3" borderId="24" xfId="3" applyNumberFormat="1" applyFill="1" applyBorder="1" applyAlignment="1">
      <alignment horizontal="center" vertical="center"/>
    </xf>
    <xf numFmtId="0" fontId="0" fillId="0" borderId="0" xfId="3" applyFont="1" applyAlignment="1">
      <alignment vertical="center"/>
    </xf>
    <xf numFmtId="164" fontId="7" fillId="2" borderId="4" xfId="0" applyNumberFormat="1" applyFont="1" applyFill="1" applyBorder="1" applyAlignment="1">
      <alignment horizontal="center" vertical="center"/>
    </xf>
    <xf numFmtId="0" fontId="1" fillId="2" borderId="49" xfId="3" applyFill="1" applyBorder="1" applyAlignment="1">
      <alignment horizontal="center" vertical="center"/>
    </xf>
    <xf numFmtId="0" fontId="0" fillId="4" borderId="27" xfId="0" applyFill="1" applyBorder="1" applyAlignment="1">
      <alignment horizontal="center"/>
    </xf>
    <xf numFmtId="0" fontId="0" fillId="2" borderId="27" xfId="0" applyFill="1" applyBorder="1" applyAlignment="1">
      <alignment horizontal="center"/>
    </xf>
    <xf numFmtId="164" fontId="0" fillId="2" borderId="33" xfId="0" applyNumberFormat="1" applyFill="1" applyBorder="1" applyAlignment="1">
      <alignment horizontal="center" vertical="center"/>
    </xf>
    <xf numFmtId="164" fontId="0" fillId="2" borderId="7" xfId="0" applyNumberFormat="1" applyFill="1" applyBorder="1" applyAlignment="1">
      <alignment horizontal="center"/>
    </xf>
    <xf numFmtId="0" fontId="0" fillId="3" borderId="4" xfId="0" applyFill="1" applyBorder="1" applyAlignment="1">
      <alignment horizontal="center"/>
    </xf>
    <xf numFmtId="2" fontId="0" fillId="3" borderId="4" xfId="0" applyNumberFormat="1" applyFill="1" applyBorder="1" applyAlignment="1">
      <alignment horizontal="center"/>
    </xf>
    <xf numFmtId="2" fontId="0" fillId="3" borderId="12" xfId="0" applyNumberFormat="1" applyFill="1" applyBorder="1" applyAlignment="1">
      <alignment horizontal="center"/>
    </xf>
    <xf numFmtId="2" fontId="0" fillId="3" borderId="13" xfId="0" applyNumberFormat="1"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1" fillId="3" borderId="5" xfId="3" applyFill="1" applyBorder="1" applyAlignment="1">
      <alignment horizontal="center" vertical="center"/>
    </xf>
    <xf numFmtId="2" fontId="0" fillId="3" borderId="5" xfId="3" applyNumberFormat="1" applyFont="1" applyFill="1" applyBorder="1" applyAlignment="1">
      <alignment horizontal="center" vertical="center"/>
    </xf>
    <xf numFmtId="0" fontId="1" fillId="3" borderId="31" xfId="3" applyFill="1" applyBorder="1" applyAlignment="1">
      <alignment horizontal="center" vertical="center"/>
    </xf>
    <xf numFmtId="0" fontId="0" fillId="3" borderId="41" xfId="3" applyFont="1" applyFill="1" applyBorder="1" applyAlignment="1">
      <alignment horizontal="center" vertical="center"/>
    </xf>
    <xf numFmtId="0" fontId="1" fillId="3" borderId="47" xfId="3" applyFill="1" applyBorder="1" applyAlignment="1">
      <alignment horizontal="center" vertical="center"/>
    </xf>
    <xf numFmtId="0" fontId="7" fillId="0" borderId="0" xfId="0" applyFont="1" applyAlignment="1">
      <alignment horizontal="center" vertical="center" wrapText="1"/>
    </xf>
    <xf numFmtId="0" fontId="0" fillId="0" borderId="26" xfId="0" applyBorder="1" applyAlignment="1">
      <alignment horizontal="center"/>
    </xf>
    <xf numFmtId="0" fontId="5" fillId="2" borderId="27" xfId="0" applyFont="1" applyFill="1" applyBorder="1" applyAlignment="1" applyProtection="1">
      <alignment horizontal="center" vertical="center" wrapText="1"/>
      <protection locked="0"/>
    </xf>
    <xf numFmtId="0" fontId="5" fillId="2" borderId="27" xfId="4" applyFont="1" applyFill="1" applyBorder="1" applyAlignment="1" applyProtection="1">
      <alignment horizontal="center" vertical="center" wrapText="1"/>
      <protection locked="0"/>
    </xf>
    <xf numFmtId="2" fontId="5" fillId="2" borderId="4" xfId="0" applyNumberFormat="1" applyFont="1" applyFill="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2" borderId="11" xfId="0" applyFont="1" applyFill="1" applyBorder="1" applyAlignment="1" applyProtection="1">
      <alignment horizontal="center" vertical="center" wrapText="1"/>
      <protection locked="0"/>
    </xf>
    <xf numFmtId="0" fontId="0" fillId="0" borderId="57" xfId="0" applyBorder="1" applyAlignment="1">
      <alignment horizontal="center"/>
    </xf>
    <xf numFmtId="0" fontId="10" fillId="7" borderId="0" xfId="0" applyFont="1" applyFill="1" applyAlignment="1" applyProtection="1">
      <alignment vertical="center"/>
      <protection hidden="1"/>
    </xf>
    <xf numFmtId="0" fontId="11" fillId="7" borderId="0" xfId="0" applyFont="1" applyFill="1" applyAlignment="1" applyProtection="1">
      <alignment vertical="center"/>
      <protection hidden="1"/>
    </xf>
    <xf numFmtId="0" fontId="11" fillId="7" borderId="49" xfId="0" applyFont="1" applyFill="1" applyBorder="1" applyAlignment="1" applyProtection="1">
      <alignment vertical="center"/>
      <protection hidden="1"/>
    </xf>
    <xf numFmtId="0" fontId="11" fillId="0" borderId="0" xfId="0" applyFont="1" applyAlignment="1" applyProtection="1">
      <alignment vertical="center"/>
      <protection hidden="1"/>
    </xf>
    <xf numFmtId="0" fontId="13" fillId="7" borderId="49" xfId="0" applyFont="1" applyFill="1" applyBorder="1" applyAlignment="1" applyProtection="1">
      <alignment vertical="center"/>
      <protection hidden="1"/>
    </xf>
    <xf numFmtId="0" fontId="12" fillId="7" borderId="44" xfId="0" applyFont="1" applyFill="1" applyBorder="1" applyAlignment="1" applyProtection="1">
      <alignment vertical="center"/>
      <protection hidden="1"/>
    </xf>
    <xf numFmtId="0" fontId="12" fillId="7" borderId="0" xfId="0" applyFont="1" applyFill="1" applyAlignment="1" applyProtection="1">
      <alignment vertical="center"/>
      <protection hidden="1"/>
    </xf>
    <xf numFmtId="0" fontId="12" fillId="0" borderId="0" xfId="0" applyFont="1" applyAlignment="1" applyProtection="1">
      <alignment vertical="center"/>
      <protection hidden="1"/>
    </xf>
    <xf numFmtId="0" fontId="12" fillId="7" borderId="44" xfId="0" applyFont="1" applyFill="1" applyBorder="1" applyAlignment="1" applyProtection="1">
      <alignment horizontal="center" vertical="center" wrapText="1"/>
      <protection hidden="1"/>
    </xf>
    <xf numFmtId="0" fontId="12" fillId="7" borderId="0" xfId="0" applyFont="1" applyFill="1" applyAlignment="1" applyProtection="1">
      <alignment horizontal="center" vertical="center" wrapText="1"/>
      <protection hidden="1"/>
    </xf>
    <xf numFmtId="0" fontId="12" fillId="0" borderId="0" xfId="0" applyFont="1" applyAlignment="1" applyProtection="1">
      <alignment horizontal="center" vertical="center" wrapText="1"/>
      <protection hidden="1"/>
    </xf>
    <xf numFmtId="0" fontId="6" fillId="10" borderId="4" xfId="0" applyFont="1" applyFill="1" applyBorder="1" applyAlignment="1" applyProtection="1">
      <alignment horizontal="center" vertical="center" wrapText="1"/>
      <protection hidden="1"/>
    </xf>
    <xf numFmtId="0" fontId="11" fillId="7" borderId="44" xfId="0" applyFont="1" applyFill="1" applyBorder="1" applyAlignment="1" applyProtection="1">
      <alignment horizontal="right" vertical="center" wrapText="1"/>
      <protection hidden="1"/>
    </xf>
    <xf numFmtId="2" fontId="5" fillId="7" borderId="27" xfId="0" applyNumberFormat="1" applyFont="1" applyFill="1" applyBorder="1" applyAlignment="1" applyProtection="1">
      <alignment horizontal="center" vertical="center" wrapText="1"/>
      <protection hidden="1"/>
    </xf>
    <xf numFmtId="2" fontId="5" fillId="7" borderId="11" xfId="0" applyNumberFormat="1" applyFont="1" applyFill="1" applyBorder="1" applyAlignment="1" applyProtection="1">
      <alignment horizontal="center" vertical="center" wrapText="1"/>
      <protection hidden="1"/>
    </xf>
    <xf numFmtId="0" fontId="11" fillId="0" borderId="0" xfId="0" applyFont="1" applyAlignment="1" applyProtection="1">
      <alignment horizontal="center" vertical="center" wrapText="1"/>
      <protection hidden="1"/>
    </xf>
    <xf numFmtId="0" fontId="11" fillId="7" borderId="44" xfId="0" applyFont="1" applyFill="1" applyBorder="1" applyAlignment="1" applyProtection="1">
      <alignment horizontal="right" vertical="center"/>
      <protection hidden="1"/>
    </xf>
    <xf numFmtId="0" fontId="11" fillId="7" borderId="0" xfId="0" applyFont="1" applyFill="1" applyAlignment="1" applyProtection="1">
      <alignment horizontal="right" vertical="top"/>
      <protection hidden="1"/>
    </xf>
    <xf numFmtId="0" fontId="0" fillId="4" borderId="11" xfId="0" applyFill="1" applyBorder="1" applyAlignment="1">
      <alignment horizontal="center" vertical="center"/>
    </xf>
    <xf numFmtId="0" fontId="17" fillId="0" borderId="0" xfId="0" applyFont="1"/>
    <xf numFmtId="165" fontId="1" fillId="2" borderId="10" xfId="3" applyNumberFormat="1" applyFill="1" applyBorder="1" applyAlignment="1">
      <alignment horizontal="center" vertical="center"/>
    </xf>
    <xf numFmtId="165" fontId="1" fillId="2" borderId="24" xfId="3" applyNumberFormat="1" applyFill="1" applyBorder="1" applyAlignment="1">
      <alignment horizontal="center" vertical="center"/>
    </xf>
    <xf numFmtId="165" fontId="0" fillId="3" borderId="10" xfId="3" applyNumberFormat="1" applyFont="1" applyFill="1" applyBorder="1" applyAlignment="1">
      <alignment horizontal="center" vertical="center"/>
    </xf>
    <xf numFmtId="165" fontId="0" fillId="3" borderId="11" xfId="3" applyNumberFormat="1" applyFont="1" applyFill="1" applyBorder="1" applyAlignment="1">
      <alignment horizontal="center" vertical="center"/>
    </xf>
    <xf numFmtId="165" fontId="1" fillId="2" borderId="30" xfId="3" applyNumberFormat="1" applyFill="1" applyBorder="1" applyAlignment="1">
      <alignment horizontal="center" vertical="center"/>
    </xf>
    <xf numFmtId="165" fontId="1" fillId="2" borderId="4" xfId="3" applyNumberFormat="1" applyFill="1" applyBorder="1" applyAlignment="1">
      <alignment horizontal="center" vertical="center"/>
    </xf>
    <xf numFmtId="0" fontId="18" fillId="12" borderId="0" xfId="0" applyFont="1" applyFill="1" applyAlignment="1" applyProtection="1">
      <alignment vertical="center"/>
      <protection hidden="1"/>
    </xf>
    <xf numFmtId="0" fontId="19" fillId="12" borderId="0" xfId="0" applyFont="1" applyFill="1" applyAlignment="1" applyProtection="1">
      <alignment horizontal="right" vertical="center"/>
      <protection hidden="1"/>
    </xf>
    <xf numFmtId="0" fontId="20" fillId="12" borderId="0" xfId="0" applyFont="1" applyFill="1" applyAlignment="1" applyProtection="1">
      <alignment horizontal="left" vertical="center"/>
      <protection hidden="1"/>
    </xf>
    <xf numFmtId="0" fontId="21" fillId="12" borderId="0" xfId="0" applyFont="1" applyFill="1" applyAlignment="1" applyProtection="1">
      <alignment horizontal="right" indent="1"/>
      <protection hidden="1"/>
    </xf>
    <xf numFmtId="0" fontId="21" fillId="12" borderId="0" xfId="0" applyFont="1" applyFill="1" applyAlignment="1" applyProtection="1">
      <alignment horizontal="right" vertical="center" indent="1"/>
      <protection hidden="1"/>
    </xf>
    <xf numFmtId="0" fontId="22" fillId="12" borderId="0" xfId="0" applyFont="1" applyFill="1" applyAlignment="1" applyProtection="1">
      <alignment horizontal="left" indent="1"/>
      <protection hidden="1"/>
    </xf>
    <xf numFmtId="0" fontId="21" fillId="12" borderId="0" xfId="0" applyFont="1" applyFill="1" applyAlignment="1" applyProtection="1">
      <alignment horizontal="right"/>
      <protection hidden="1"/>
    </xf>
    <xf numFmtId="0" fontId="22" fillId="12" borderId="58" xfId="0" applyFont="1" applyFill="1" applyBorder="1" applyAlignment="1" applyProtection="1">
      <alignment horizontal="left" indent="1"/>
      <protection locked="0"/>
    </xf>
    <xf numFmtId="0" fontId="23" fillId="12" borderId="0" xfId="0" applyFont="1" applyFill="1" applyAlignment="1" applyProtection="1">
      <alignment horizontal="right" vertical="center" indent="1"/>
      <protection hidden="1"/>
    </xf>
    <xf numFmtId="0" fontId="24" fillId="13" borderId="4" xfId="0" applyFont="1" applyFill="1" applyBorder="1" applyAlignment="1" applyProtection="1">
      <alignment horizontal="center" vertical="center"/>
      <protection hidden="1"/>
    </xf>
    <xf numFmtId="170" fontId="23" fillId="0" borderId="27" xfId="0" applyNumberFormat="1" applyFont="1" applyBorder="1" applyAlignment="1" applyProtection="1">
      <alignment horizontal="center" vertical="center"/>
      <protection locked="0" hidden="1"/>
    </xf>
    <xf numFmtId="170" fontId="23" fillId="0" borderId="4" xfId="0" applyNumberFormat="1" applyFont="1" applyBorder="1" applyAlignment="1" applyProtection="1">
      <alignment horizontal="center" vertical="center"/>
      <protection locked="0" hidden="1"/>
    </xf>
    <xf numFmtId="0" fontId="20" fillId="12" borderId="0" xfId="0" applyFont="1" applyFill="1" applyAlignment="1" applyProtection="1">
      <alignment vertical="center"/>
      <protection hidden="1"/>
    </xf>
    <xf numFmtId="0" fontId="18" fillId="12" borderId="0" xfId="1" applyFont="1" applyFill="1" applyAlignment="1" applyProtection="1">
      <alignment vertical="center"/>
      <protection hidden="1"/>
    </xf>
    <xf numFmtId="0" fontId="4" fillId="0" borderId="0" xfId="1"/>
    <xf numFmtId="0" fontId="28" fillId="15" borderId="61" xfId="1" applyFont="1" applyFill="1" applyBorder="1" applyAlignment="1" applyProtection="1">
      <alignment horizontal="left" vertical="center" indent="1"/>
      <protection hidden="1"/>
    </xf>
    <xf numFmtId="171" fontId="33" fillId="12" borderId="61" xfId="1" applyNumberFormat="1" applyFont="1" applyFill="1" applyBorder="1" applyAlignment="1" applyProtection="1">
      <alignment vertical="center"/>
      <protection hidden="1"/>
    </xf>
    <xf numFmtId="0" fontId="34" fillId="12" borderId="0" xfId="1" applyFont="1" applyFill="1" applyAlignment="1" applyProtection="1">
      <alignment vertical="center"/>
      <protection hidden="1"/>
    </xf>
    <xf numFmtId="0" fontId="28" fillId="15" borderId="62" xfId="1" applyFont="1" applyFill="1" applyBorder="1" applyAlignment="1" applyProtection="1">
      <alignment horizontal="left" vertical="center" indent="1"/>
      <protection hidden="1"/>
    </xf>
    <xf numFmtId="0" fontId="28" fillId="12" borderId="0" xfId="1" applyFont="1" applyFill="1" applyAlignment="1" applyProtection="1">
      <alignment vertical="center"/>
      <protection hidden="1"/>
    </xf>
    <xf numFmtId="0" fontId="18" fillId="12" borderId="0" xfId="1" applyFont="1" applyFill="1" applyAlignment="1" applyProtection="1">
      <alignment horizontal="left" vertical="center" wrapText="1"/>
      <protection hidden="1"/>
    </xf>
    <xf numFmtId="0" fontId="18" fillId="12" borderId="5" xfId="1" applyFont="1" applyFill="1" applyBorder="1" applyAlignment="1" applyProtection="1">
      <alignment vertical="center" wrapText="1"/>
      <protection hidden="1"/>
    </xf>
    <xf numFmtId="0" fontId="28" fillId="12" borderId="63" xfId="1" applyFont="1" applyFill="1" applyBorder="1" applyAlignment="1" applyProtection="1">
      <alignment horizontal="center" vertical="center"/>
      <protection hidden="1"/>
    </xf>
    <xf numFmtId="0" fontId="18" fillId="12" borderId="0" xfId="1" applyFont="1" applyFill="1" applyAlignment="1" applyProtection="1">
      <alignment horizontal="center" vertical="center"/>
      <protection hidden="1"/>
    </xf>
    <xf numFmtId="0" fontId="36" fillId="12" borderId="0" xfId="1" applyFont="1" applyFill="1" applyAlignment="1" applyProtection="1">
      <alignment horizontal="left" vertical="center" wrapText="1"/>
      <protection hidden="1"/>
    </xf>
    <xf numFmtId="0" fontId="37" fillId="12" borderId="0" xfId="1" applyFont="1" applyFill="1" applyAlignment="1" applyProtection="1">
      <alignment vertical="center"/>
      <protection hidden="1"/>
    </xf>
    <xf numFmtId="0" fontId="26" fillId="12" borderId="0" xfId="1" applyFont="1" applyFill="1" applyAlignment="1" applyProtection="1">
      <alignment vertical="center"/>
      <protection hidden="1"/>
    </xf>
    <xf numFmtId="170" fontId="28" fillId="12" borderId="61" xfId="1" applyNumberFormat="1" applyFont="1" applyFill="1" applyBorder="1" applyAlignment="1">
      <alignment horizontal="center" vertical="center"/>
    </xf>
    <xf numFmtId="0" fontId="28" fillId="12" borderId="0" xfId="1" applyFont="1" applyFill="1" applyAlignment="1" applyProtection="1">
      <alignment horizontal="left" vertical="center" indent="1"/>
      <protection hidden="1"/>
    </xf>
    <xf numFmtId="171" fontId="28" fillId="12" borderId="61" xfId="1" applyNumberFormat="1" applyFont="1" applyFill="1" applyBorder="1" applyAlignment="1" applyProtection="1">
      <alignment vertical="center"/>
      <protection hidden="1"/>
    </xf>
    <xf numFmtId="0" fontId="28" fillId="15" borderId="65" xfId="1" applyFont="1" applyFill="1" applyBorder="1" applyAlignment="1" applyProtection="1">
      <alignment horizontal="left" vertical="center" indent="1"/>
      <protection hidden="1"/>
    </xf>
    <xf numFmtId="171" fontId="37" fillId="12" borderId="65" xfId="1" applyNumberFormat="1" applyFont="1" applyFill="1" applyBorder="1" applyAlignment="1" applyProtection="1">
      <alignment vertical="center"/>
      <protection hidden="1"/>
    </xf>
    <xf numFmtId="171" fontId="37" fillId="12" borderId="61" xfId="1" applyNumberFormat="1" applyFont="1" applyFill="1" applyBorder="1" applyAlignment="1" applyProtection="1">
      <alignment vertical="center"/>
      <protection hidden="1"/>
    </xf>
    <xf numFmtId="0" fontId="22" fillId="12" borderId="0" xfId="1" applyFont="1" applyFill="1" applyAlignment="1" applyProtection="1">
      <alignment vertical="center"/>
      <protection hidden="1"/>
    </xf>
    <xf numFmtId="0" fontId="39" fillId="12" borderId="0" xfId="1" applyFont="1" applyFill="1" applyAlignment="1" applyProtection="1">
      <alignment vertical="center"/>
      <protection hidden="1"/>
    </xf>
    <xf numFmtId="173" fontId="39" fillId="12" borderId="0" xfId="1" applyNumberFormat="1" applyFont="1" applyFill="1" applyAlignment="1" applyProtection="1">
      <alignment vertical="center"/>
      <protection hidden="1"/>
    </xf>
    <xf numFmtId="0" fontId="39" fillId="12" borderId="0" xfId="1" applyFont="1" applyFill="1" applyAlignment="1" applyProtection="1">
      <alignment horizontal="center" vertical="center"/>
      <protection hidden="1"/>
    </xf>
    <xf numFmtId="174" fontId="39" fillId="12" borderId="0" xfId="1" applyNumberFormat="1" applyFont="1" applyFill="1" applyAlignment="1" applyProtection="1">
      <alignment vertical="center"/>
      <protection hidden="1"/>
    </xf>
    <xf numFmtId="175" fontId="39" fillId="12" borderId="0" xfId="1" applyNumberFormat="1" applyFont="1" applyFill="1" applyAlignment="1" applyProtection="1">
      <alignment vertical="center"/>
      <protection hidden="1"/>
    </xf>
    <xf numFmtId="0" fontId="22" fillId="12" borderId="0" xfId="1" applyFont="1" applyFill="1" applyAlignment="1" applyProtection="1">
      <alignment horizontal="center" vertical="center"/>
      <protection hidden="1"/>
    </xf>
    <xf numFmtId="0" fontId="39" fillId="12" borderId="0" xfId="1" applyFont="1" applyFill="1" applyAlignment="1" applyProtection="1">
      <alignment vertical="center" wrapText="1"/>
      <protection hidden="1"/>
    </xf>
    <xf numFmtId="0" fontId="28" fillId="19" borderId="0" xfId="1" applyFont="1" applyFill="1" applyAlignment="1" applyProtection="1">
      <alignment vertical="center"/>
      <protection hidden="1"/>
    </xf>
    <xf numFmtId="0" fontId="27" fillId="15" borderId="61" xfId="1" applyFont="1" applyFill="1" applyBorder="1" applyAlignment="1" applyProtection="1">
      <alignment horizontal="right" vertical="center" indent="1"/>
      <protection hidden="1"/>
    </xf>
    <xf numFmtId="4" fontId="28" fillId="12" borderId="61" xfId="1" applyNumberFormat="1" applyFont="1" applyFill="1" applyBorder="1" applyAlignment="1" applyProtection="1">
      <alignment horizontal="center" vertical="center"/>
      <protection hidden="1"/>
    </xf>
    <xf numFmtId="176" fontId="28" fillId="12" borderId="61" xfId="1" applyNumberFormat="1" applyFont="1" applyFill="1" applyBorder="1" applyAlignment="1" applyProtection="1">
      <alignment vertical="center"/>
      <protection hidden="1"/>
    </xf>
    <xf numFmtId="3" fontId="28" fillId="12" borderId="61" xfId="1" applyNumberFormat="1" applyFont="1" applyFill="1" applyBorder="1" applyAlignment="1" applyProtection="1">
      <alignment horizontal="center" vertical="center"/>
      <protection hidden="1"/>
    </xf>
    <xf numFmtId="0" fontId="28" fillId="19" borderId="58" xfId="1" applyFont="1" applyFill="1" applyBorder="1" applyAlignment="1" applyProtection="1">
      <alignment vertical="center"/>
      <protection hidden="1"/>
    </xf>
    <xf numFmtId="0" fontId="28" fillId="19" borderId="66" xfId="1" applyFont="1" applyFill="1" applyBorder="1" applyAlignment="1" applyProtection="1">
      <alignment vertical="center"/>
      <protection hidden="1"/>
    </xf>
    <xf numFmtId="0" fontId="41" fillId="12" borderId="0" xfId="1" applyFont="1" applyFill="1" applyAlignment="1" applyProtection="1">
      <alignment horizontal="center" vertical="center"/>
      <protection hidden="1"/>
    </xf>
    <xf numFmtId="3" fontId="39" fillId="12" borderId="0" xfId="1" applyNumberFormat="1" applyFont="1" applyFill="1" applyAlignment="1" applyProtection="1">
      <alignment horizontal="center" vertical="center"/>
      <protection hidden="1"/>
    </xf>
    <xf numFmtId="4" fontId="39" fillId="12" borderId="0" xfId="1" applyNumberFormat="1" applyFont="1" applyFill="1" applyAlignment="1" applyProtection="1">
      <alignment horizontal="center" vertical="center"/>
      <protection hidden="1"/>
    </xf>
    <xf numFmtId="177" fontId="39" fillId="12" borderId="0" xfId="1" applyNumberFormat="1" applyFont="1" applyFill="1" applyAlignment="1" applyProtection="1">
      <alignment horizontal="center" vertical="center"/>
      <protection hidden="1"/>
    </xf>
    <xf numFmtId="3" fontId="18" fillId="12" borderId="0" xfId="1" applyNumberFormat="1" applyFont="1" applyFill="1" applyAlignment="1" applyProtection="1">
      <alignment horizontal="center" vertical="center"/>
      <protection hidden="1"/>
    </xf>
    <xf numFmtId="4" fontId="18" fillId="12" borderId="0" xfId="1" applyNumberFormat="1" applyFont="1" applyFill="1" applyAlignment="1" applyProtection="1">
      <alignment horizontal="center" vertical="center"/>
      <protection hidden="1"/>
    </xf>
    <xf numFmtId="177" fontId="18" fillId="12" borderId="0" xfId="1" applyNumberFormat="1" applyFont="1" applyFill="1" applyAlignment="1" applyProtection="1">
      <alignment horizontal="center" vertical="center"/>
      <protection hidden="1"/>
    </xf>
    <xf numFmtId="0" fontId="27" fillId="19" borderId="67" xfId="1" applyFont="1" applyFill="1" applyBorder="1" applyAlignment="1" applyProtection="1">
      <alignment horizontal="right" vertical="center" indent="1"/>
      <protection hidden="1"/>
    </xf>
    <xf numFmtId="0" fontId="27" fillId="19" borderId="63" xfId="1" applyFont="1" applyFill="1" applyBorder="1" applyAlignment="1" applyProtection="1">
      <alignment horizontal="center" vertical="center"/>
      <protection hidden="1"/>
    </xf>
    <xf numFmtId="0" fontId="28" fillId="19" borderId="63" xfId="1" applyFont="1" applyFill="1" applyBorder="1" applyAlignment="1" applyProtection="1">
      <alignment vertical="center"/>
      <protection hidden="1"/>
    </xf>
    <xf numFmtId="0" fontId="27" fillId="19" borderId="68" xfId="1" applyFont="1" applyFill="1" applyBorder="1" applyAlignment="1" applyProtection="1">
      <alignment horizontal="center" vertical="center"/>
      <protection hidden="1"/>
    </xf>
    <xf numFmtId="4" fontId="28" fillId="12" borderId="61" xfId="1" applyNumberFormat="1" applyFont="1" applyFill="1" applyBorder="1" applyAlignment="1" applyProtection="1">
      <alignment horizontal="right" vertical="center" indent="1"/>
      <protection hidden="1"/>
    </xf>
    <xf numFmtId="3" fontId="28" fillId="12" borderId="61" xfId="1" applyNumberFormat="1" applyFont="1" applyFill="1" applyBorder="1" applyAlignment="1" applyProtection="1">
      <alignment horizontal="right" vertical="center" indent="1"/>
      <protection hidden="1"/>
    </xf>
    <xf numFmtId="10" fontId="28" fillId="12" borderId="61" xfId="1" applyNumberFormat="1" applyFont="1" applyFill="1" applyBorder="1" applyAlignment="1" applyProtection="1">
      <alignment horizontal="right" vertical="center" indent="1"/>
      <protection hidden="1"/>
    </xf>
    <xf numFmtId="4" fontId="33" fillId="12" borderId="61" xfId="1" applyNumberFormat="1" applyFont="1" applyFill="1" applyBorder="1" applyAlignment="1" applyProtection="1">
      <alignment horizontal="right" vertical="center" indent="1"/>
      <protection hidden="1"/>
    </xf>
    <xf numFmtId="3" fontId="33" fillId="12" borderId="61" xfId="1" applyNumberFormat="1" applyFont="1" applyFill="1" applyBorder="1" applyAlignment="1" applyProtection="1">
      <alignment horizontal="right" vertical="center" indent="1"/>
      <protection hidden="1"/>
    </xf>
    <xf numFmtId="2" fontId="0" fillId="0" borderId="4" xfId="3" applyNumberFormat="1" applyFont="1" applyBorder="1" applyAlignment="1">
      <alignment horizontal="center" vertical="center" wrapText="1"/>
    </xf>
    <xf numFmtId="1" fontId="0" fillId="2" borderId="12" xfId="0" applyNumberFormat="1" applyFill="1" applyBorder="1" applyAlignment="1">
      <alignment horizontal="center" vertical="center"/>
    </xf>
    <xf numFmtId="0" fontId="1" fillId="4" borderId="39" xfId="3" applyFill="1" applyBorder="1" applyAlignment="1">
      <alignment horizontal="center" vertical="center"/>
    </xf>
    <xf numFmtId="0" fontId="1" fillId="4" borderId="43" xfId="3" applyFill="1" applyBorder="1" applyAlignment="1">
      <alignment horizontal="center" vertical="center" wrapText="1"/>
    </xf>
    <xf numFmtId="0" fontId="0" fillId="4" borderId="1" xfId="0" applyFill="1" applyBorder="1" applyAlignment="1">
      <alignment vertical="center" wrapText="1"/>
    </xf>
    <xf numFmtId="0" fontId="0" fillId="4" borderId="3" xfId="0" applyFill="1" applyBorder="1" applyAlignment="1">
      <alignment vertical="center"/>
    </xf>
    <xf numFmtId="0" fontId="0" fillId="4" borderId="25" xfId="0" applyFill="1" applyBorder="1" applyAlignment="1">
      <alignment vertical="center"/>
    </xf>
    <xf numFmtId="0" fontId="1" fillId="4" borderId="34" xfId="3" applyFill="1" applyBorder="1" applyAlignment="1">
      <alignment vertical="center" wrapText="1"/>
    </xf>
    <xf numFmtId="0" fontId="1" fillId="4" borderId="41" xfId="3" applyFill="1" applyBorder="1" applyAlignment="1">
      <alignment vertical="center"/>
    </xf>
    <xf numFmtId="0" fontId="0" fillId="20" borderId="0" xfId="0" applyFill="1"/>
    <xf numFmtId="0" fontId="24" fillId="0" borderId="0" xfId="0" applyFont="1" applyAlignment="1" applyProtection="1">
      <alignment vertical="center"/>
      <protection hidden="1"/>
    </xf>
    <xf numFmtId="0" fontId="48" fillId="12" borderId="0" xfId="1" applyFont="1" applyFill="1" applyAlignment="1" applyProtection="1">
      <alignment vertical="top"/>
      <protection hidden="1"/>
    </xf>
    <xf numFmtId="167" fontId="33" fillId="12" borderId="61" xfId="1" applyNumberFormat="1" applyFont="1" applyFill="1" applyBorder="1" applyAlignment="1" applyProtection="1">
      <alignment vertical="center"/>
      <protection hidden="1"/>
    </xf>
    <xf numFmtId="0" fontId="7" fillId="5" borderId="54" xfId="0" applyFont="1" applyFill="1" applyBorder="1" applyAlignment="1">
      <alignment horizontal="center" vertical="center" wrapText="1"/>
    </xf>
    <xf numFmtId="0" fontId="6" fillId="9" borderId="4" xfId="0" applyFont="1" applyFill="1" applyBorder="1" applyAlignment="1" applyProtection="1">
      <alignment horizontal="center" vertical="center" wrapText="1"/>
      <protection hidden="1"/>
    </xf>
    <xf numFmtId="0" fontId="11" fillId="0" borderId="0" xfId="0" applyFont="1" applyAlignment="1" applyProtection="1">
      <alignment horizontal="left" vertical="center"/>
      <protection hidden="1"/>
    </xf>
    <xf numFmtId="0" fontId="6" fillId="0" borderId="0" xfId="0" applyFont="1" applyAlignment="1" applyProtection="1">
      <alignment horizontal="center" vertical="center" wrapText="1"/>
      <protection hidden="1"/>
    </xf>
    <xf numFmtId="3" fontId="11" fillId="7" borderId="4" xfId="0" applyNumberFormat="1" applyFont="1" applyFill="1" applyBorder="1" applyAlignment="1" applyProtection="1">
      <alignment horizontal="center" vertical="center" wrapText="1"/>
      <protection hidden="1"/>
    </xf>
    <xf numFmtId="44" fontId="11" fillId="7" borderId="4" xfId="8" applyFont="1" applyFill="1" applyBorder="1" applyAlignment="1" applyProtection="1">
      <alignment vertical="center"/>
      <protection hidden="1"/>
    </xf>
    <xf numFmtId="0" fontId="11" fillId="7" borderId="44" xfId="0" applyFont="1" applyFill="1" applyBorder="1" applyAlignment="1" applyProtection="1">
      <alignment vertical="center"/>
      <protection hidden="1"/>
    </xf>
    <xf numFmtId="2" fontId="0" fillId="0" borderId="4" xfId="3" quotePrefix="1" applyNumberFormat="1" applyFont="1" applyBorder="1" applyAlignment="1">
      <alignment horizontal="center" vertical="center" wrapText="1"/>
    </xf>
    <xf numFmtId="0" fontId="11" fillId="0" borderId="70" xfId="0" applyFont="1" applyBorder="1" applyAlignment="1" applyProtection="1">
      <alignment vertical="center"/>
      <protection hidden="1"/>
    </xf>
    <xf numFmtId="39" fontId="5" fillId="0" borderId="0" xfId="0" applyNumberFormat="1" applyFont="1" applyAlignment="1" applyProtection="1">
      <alignment horizontal="center" vertical="center" wrapText="1"/>
      <protection hidden="1"/>
    </xf>
    <xf numFmtId="0" fontId="5" fillId="0" borderId="0" xfId="0" applyFont="1" applyAlignment="1" applyProtection="1">
      <alignment horizontal="center" vertical="center" wrapText="1"/>
      <protection hidden="1"/>
    </xf>
    <xf numFmtId="1" fontId="5" fillId="0" borderId="0" xfId="0" applyNumberFormat="1" applyFont="1" applyAlignment="1" applyProtection="1">
      <alignment horizontal="center" vertical="center" wrapText="1"/>
      <protection hidden="1"/>
    </xf>
    <xf numFmtId="166" fontId="5" fillId="0" borderId="0" xfId="0" applyNumberFormat="1" applyFont="1" applyAlignment="1" applyProtection="1">
      <alignment horizontal="center" vertical="center" wrapText="1"/>
      <protection hidden="1"/>
    </xf>
    <xf numFmtId="37" fontId="5" fillId="0" borderId="0" xfId="0" applyNumberFormat="1" applyFont="1" applyAlignment="1" applyProtection="1">
      <alignment horizontal="center" vertical="center" wrapText="1"/>
      <protection hidden="1"/>
    </xf>
    <xf numFmtId="2" fontId="11" fillId="0" borderId="0" xfId="0" applyNumberFormat="1" applyFont="1" applyAlignment="1" applyProtection="1">
      <alignment horizontal="center" vertical="center" wrapText="1"/>
      <protection hidden="1"/>
    </xf>
    <xf numFmtId="2" fontId="5" fillId="0" borderId="0" xfId="0" applyNumberFormat="1" applyFont="1" applyAlignment="1" applyProtection="1">
      <alignment horizontal="center" vertical="center" wrapText="1"/>
      <protection hidden="1"/>
    </xf>
    <xf numFmtId="0" fontId="6" fillId="0" borderId="70" xfId="0" applyFont="1" applyBorder="1" applyAlignment="1" applyProtection="1">
      <alignment horizontal="center" vertical="center" wrapText="1"/>
      <protection hidden="1"/>
    </xf>
    <xf numFmtId="0" fontId="6" fillId="0" borderId="71" xfId="0" applyFont="1" applyBorder="1" applyAlignment="1" applyProtection="1">
      <alignment horizontal="center" vertical="center" wrapText="1"/>
      <protection hidden="1"/>
    </xf>
    <xf numFmtId="37" fontId="5" fillId="0" borderId="70" xfId="0" applyNumberFormat="1" applyFont="1" applyBorder="1" applyAlignment="1" applyProtection="1">
      <alignment horizontal="center" vertical="center" wrapText="1"/>
      <protection hidden="1"/>
    </xf>
    <xf numFmtId="0" fontId="12" fillId="0" borderId="70" xfId="0" applyFont="1" applyBorder="1" applyAlignment="1" applyProtection="1">
      <alignment horizontal="center" vertical="center" wrapText="1"/>
      <protection hidden="1"/>
    </xf>
    <xf numFmtId="0" fontId="11" fillId="0" borderId="70" xfId="0" applyFont="1" applyBorder="1" applyAlignment="1" applyProtection="1">
      <alignment horizontal="center" vertical="center" wrapText="1"/>
      <protection hidden="1"/>
    </xf>
    <xf numFmtId="0" fontId="0" fillId="4" borderId="27" xfId="3" applyFont="1" applyFill="1" applyBorder="1" applyAlignment="1">
      <alignment vertical="center" wrapText="1"/>
    </xf>
    <xf numFmtId="0" fontId="1" fillId="4" borderId="25" xfId="3" applyFill="1" applyBorder="1" applyAlignment="1">
      <alignment vertical="center"/>
    </xf>
    <xf numFmtId="0" fontId="0" fillId="4" borderId="20" xfId="3" applyFont="1" applyFill="1" applyBorder="1" applyAlignment="1">
      <alignment vertical="center"/>
    </xf>
    <xf numFmtId="0" fontId="0" fillId="4" borderId="20" xfId="0" applyFill="1" applyBorder="1" applyAlignment="1">
      <alignment vertical="center"/>
    </xf>
    <xf numFmtId="0" fontId="14" fillId="10" borderId="45" xfId="0" applyFont="1" applyFill="1" applyBorder="1" applyAlignment="1" applyProtection="1">
      <alignment vertical="center"/>
      <protection hidden="1"/>
    </xf>
    <xf numFmtId="0" fontId="50" fillId="7" borderId="0" xfId="0" applyFont="1" applyFill="1" applyAlignment="1" applyProtection="1">
      <alignment vertical="center"/>
      <protection hidden="1"/>
    </xf>
    <xf numFmtId="3" fontId="11" fillId="0" borderId="0" xfId="0" applyNumberFormat="1" applyFont="1" applyAlignment="1" applyProtection="1">
      <alignment horizontal="center" vertical="center" wrapText="1"/>
      <protection hidden="1"/>
    </xf>
    <xf numFmtId="0" fontId="51" fillId="12" borderId="0" xfId="0" applyFont="1" applyFill="1" applyAlignment="1" applyProtection="1">
      <alignment vertical="center"/>
      <protection hidden="1"/>
    </xf>
    <xf numFmtId="0" fontId="52" fillId="7" borderId="49" xfId="0" applyFont="1" applyFill="1" applyBorder="1" applyAlignment="1" applyProtection="1">
      <alignment vertical="center"/>
      <protection hidden="1"/>
    </xf>
    <xf numFmtId="0" fontId="12" fillId="0" borderId="72" xfId="0" applyFont="1" applyBorder="1" applyAlignment="1" applyProtection="1">
      <alignment horizontal="center" vertical="center" wrapText="1"/>
      <protection hidden="1"/>
    </xf>
    <xf numFmtId="0" fontId="11" fillId="0" borderId="72" xfId="0" applyFont="1" applyBorder="1" applyAlignment="1" applyProtection="1">
      <alignment horizontal="center" vertical="center" wrapText="1"/>
      <protection hidden="1"/>
    </xf>
    <xf numFmtId="0" fontId="53" fillId="4" borderId="0" xfId="0" applyFont="1" applyFill="1"/>
    <xf numFmtId="0" fontId="50" fillId="2" borderId="0" xfId="0" applyFont="1" applyFill="1" applyAlignment="1" applyProtection="1">
      <alignment vertical="center"/>
      <protection hidden="1"/>
    </xf>
    <xf numFmtId="0" fontId="11" fillId="2" borderId="0" xfId="0" applyFont="1" applyFill="1" applyAlignment="1" applyProtection="1">
      <alignment vertical="center"/>
      <protection hidden="1"/>
    </xf>
    <xf numFmtId="0" fontId="12" fillId="2" borderId="44" xfId="0" applyFont="1" applyFill="1" applyBorder="1" applyAlignment="1" applyProtection="1">
      <alignment vertical="center"/>
      <protection hidden="1"/>
    </xf>
    <xf numFmtId="0" fontId="12" fillId="2" borderId="44" xfId="0" applyFont="1" applyFill="1" applyBorder="1" applyAlignment="1" applyProtection="1">
      <alignment horizontal="center" vertical="center" wrapText="1"/>
      <protection hidden="1"/>
    </xf>
    <xf numFmtId="0" fontId="10" fillId="2" borderId="0" xfId="0" applyFont="1" applyFill="1" applyAlignment="1" applyProtection="1">
      <alignment vertical="center"/>
      <protection hidden="1"/>
    </xf>
    <xf numFmtId="0" fontId="13" fillId="2" borderId="49" xfId="0" applyFont="1" applyFill="1" applyBorder="1" applyAlignment="1" applyProtection="1">
      <alignment vertical="center"/>
      <protection hidden="1"/>
    </xf>
    <xf numFmtId="0" fontId="52" fillId="2" borderId="49" xfId="0" applyFont="1" applyFill="1" applyBorder="1" applyAlignment="1" applyProtection="1">
      <alignment vertical="center"/>
      <protection hidden="1"/>
    </xf>
    <xf numFmtId="0" fontId="11" fillId="2" borderId="49" xfId="0" applyFont="1" applyFill="1" applyBorder="1" applyAlignment="1" applyProtection="1">
      <alignment vertical="center"/>
      <protection hidden="1"/>
    </xf>
    <xf numFmtId="0" fontId="14" fillId="9" borderId="45" xfId="0" applyFont="1" applyFill="1" applyBorder="1" applyAlignment="1" applyProtection="1">
      <alignment vertical="center"/>
      <protection hidden="1"/>
    </xf>
    <xf numFmtId="0" fontId="15" fillId="9" borderId="45" xfId="0" applyFont="1" applyFill="1" applyBorder="1" applyAlignment="1" applyProtection="1">
      <alignment vertical="center"/>
      <protection hidden="1"/>
    </xf>
    <xf numFmtId="0" fontId="15" fillId="9" borderId="46" xfId="0" applyFont="1" applyFill="1" applyBorder="1" applyAlignment="1" applyProtection="1">
      <alignment vertical="center"/>
      <protection hidden="1"/>
    </xf>
    <xf numFmtId="0" fontId="14" fillId="10" borderId="46" xfId="0" applyFont="1" applyFill="1" applyBorder="1" applyAlignment="1" applyProtection="1">
      <alignment vertical="center"/>
      <protection hidden="1"/>
    </xf>
    <xf numFmtId="0" fontId="56" fillId="2" borderId="44" xfId="0" applyFont="1" applyFill="1" applyBorder="1" applyAlignment="1" applyProtection="1">
      <alignment horizontal="center" vertical="center" wrapText="1"/>
      <protection hidden="1"/>
    </xf>
    <xf numFmtId="0" fontId="56" fillId="2" borderId="44" xfId="0" applyFont="1" applyFill="1" applyBorder="1" applyAlignment="1" applyProtection="1">
      <alignment horizontal="right" vertical="center" wrapText="1"/>
      <protection hidden="1"/>
    </xf>
    <xf numFmtId="0" fontId="56" fillId="2" borderId="44" xfId="0" applyFont="1" applyFill="1" applyBorder="1" applyAlignment="1" applyProtection="1">
      <alignment horizontal="right" vertical="center"/>
      <protection hidden="1"/>
    </xf>
    <xf numFmtId="0" fontId="0" fillId="2" borderId="0" xfId="0" applyFill="1" applyProtection="1">
      <protection hidden="1"/>
    </xf>
    <xf numFmtId="0" fontId="0" fillId="0" borderId="0" xfId="0" applyProtection="1">
      <protection hidden="1"/>
    </xf>
    <xf numFmtId="0" fontId="5" fillId="0" borderId="52" xfId="0" applyFont="1" applyBorder="1" applyAlignment="1" applyProtection="1">
      <alignment horizontal="center" vertical="center" wrapText="1"/>
      <protection hidden="1"/>
    </xf>
    <xf numFmtId="0" fontId="5" fillId="0" borderId="11" xfId="0" applyFont="1" applyBorder="1" applyAlignment="1" applyProtection="1">
      <alignment horizontal="center" vertical="center" wrapText="1"/>
      <protection hidden="1"/>
    </xf>
    <xf numFmtId="0" fontId="5" fillId="2" borderId="27" xfId="0" applyFont="1" applyFill="1" applyBorder="1" applyAlignment="1" applyProtection="1">
      <alignment horizontal="center" vertical="center" wrapText="1"/>
      <protection hidden="1"/>
    </xf>
    <xf numFmtId="0" fontId="5" fillId="2" borderId="11" xfId="0" applyFont="1" applyFill="1" applyBorder="1" applyAlignment="1" applyProtection="1">
      <alignment horizontal="center" vertical="center" wrapText="1"/>
      <protection hidden="1"/>
    </xf>
    <xf numFmtId="0" fontId="5" fillId="2" borderId="27" xfId="4" applyFont="1" applyFill="1" applyBorder="1" applyAlignment="1" applyProtection="1">
      <alignment horizontal="center" vertical="center" wrapText="1"/>
      <protection hidden="1"/>
    </xf>
    <xf numFmtId="0" fontId="49" fillId="2" borderId="11" xfId="0" applyFont="1" applyFill="1" applyBorder="1" applyAlignment="1" applyProtection="1">
      <alignment horizontal="center" vertical="center" wrapText="1"/>
      <protection hidden="1"/>
    </xf>
    <xf numFmtId="0" fontId="5" fillId="0" borderId="25" xfId="0" applyFont="1" applyBorder="1" applyAlignment="1" applyProtection="1">
      <alignment horizontal="center" vertical="center" wrapText="1"/>
      <protection hidden="1"/>
    </xf>
    <xf numFmtId="0" fontId="5" fillId="0" borderId="13" xfId="0" applyFont="1" applyBorder="1" applyAlignment="1" applyProtection="1">
      <alignment horizontal="center" vertical="center" wrapText="1"/>
      <protection hidden="1"/>
    </xf>
    <xf numFmtId="0" fontId="5" fillId="2" borderId="33" xfId="0" applyFont="1" applyFill="1" applyBorder="1" applyAlignment="1" applyProtection="1">
      <alignment horizontal="center" vertical="center" wrapText="1"/>
      <protection hidden="1"/>
    </xf>
    <xf numFmtId="0" fontId="5" fillId="2" borderId="13" xfId="0" applyFont="1" applyFill="1" applyBorder="1" applyAlignment="1" applyProtection="1">
      <alignment horizontal="center" vertical="center" wrapText="1"/>
      <protection hidden="1"/>
    </xf>
    <xf numFmtId="0" fontId="5" fillId="2" borderId="33" xfId="4" applyFont="1" applyFill="1" applyBorder="1" applyAlignment="1" applyProtection="1">
      <alignment horizontal="center" vertical="center" wrapText="1"/>
      <protection hidden="1"/>
    </xf>
    <xf numFmtId="0" fontId="49" fillId="2" borderId="13" xfId="0" applyFont="1" applyFill="1" applyBorder="1" applyAlignment="1" applyProtection="1">
      <alignment horizontal="center" vertical="center" wrapText="1"/>
      <protection hidden="1"/>
    </xf>
    <xf numFmtId="0" fontId="55" fillId="2" borderId="26" xfId="0" applyFont="1" applyFill="1" applyBorder="1" applyAlignment="1" applyProtection="1">
      <alignment vertical="center"/>
      <protection locked="0"/>
    </xf>
    <xf numFmtId="0" fontId="54" fillId="2" borderId="0" xfId="0" applyFont="1" applyFill="1" applyProtection="1">
      <protection hidden="1"/>
    </xf>
    <xf numFmtId="0" fontId="57" fillId="2" borderId="49" xfId="0" applyFont="1" applyFill="1" applyBorder="1" applyAlignment="1" applyProtection="1">
      <alignment vertical="center"/>
      <protection hidden="1"/>
    </xf>
    <xf numFmtId="0" fontId="5" fillId="2" borderId="4" xfId="0" applyFont="1" applyFill="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11" fillId="7" borderId="0" xfId="0" applyFont="1" applyFill="1" applyAlignment="1" applyProtection="1">
      <alignment horizontal="center" vertical="center" wrapText="1"/>
      <protection hidden="1"/>
    </xf>
    <xf numFmtId="3" fontId="5" fillId="2" borderId="27" xfId="0" applyNumberFormat="1" applyFont="1" applyFill="1" applyBorder="1" applyAlignment="1" applyProtection="1">
      <alignment horizontal="center" vertical="center" wrapText="1"/>
      <protection locked="0"/>
    </xf>
    <xf numFmtId="3" fontId="49" fillId="0" borderId="4" xfId="0" applyNumberFormat="1" applyFont="1" applyBorder="1" applyAlignment="1" applyProtection="1">
      <alignment horizontal="center" vertical="center" wrapText="1"/>
      <protection locked="0"/>
    </xf>
    <xf numFmtId="3" fontId="5" fillId="2" borderId="27" xfId="4" applyNumberFormat="1" applyFont="1" applyFill="1" applyBorder="1" applyAlignment="1" applyProtection="1">
      <alignment horizontal="center" vertical="center" wrapText="1"/>
      <protection hidden="1"/>
    </xf>
    <xf numFmtId="3" fontId="5" fillId="2" borderId="33" xfId="4" applyNumberFormat="1" applyFont="1" applyFill="1" applyBorder="1" applyAlignment="1" applyProtection="1">
      <alignment horizontal="center" vertical="center" wrapText="1"/>
      <protection hidden="1"/>
    </xf>
    <xf numFmtId="3" fontId="5" fillId="2" borderId="27" xfId="0" applyNumberFormat="1" applyFont="1" applyFill="1" applyBorder="1" applyAlignment="1" applyProtection="1">
      <alignment horizontal="center" vertical="center" wrapText="1"/>
      <protection hidden="1"/>
    </xf>
    <xf numFmtId="3" fontId="5" fillId="2" borderId="33" xfId="0" applyNumberFormat="1" applyFont="1" applyFill="1" applyBorder="1" applyAlignment="1" applyProtection="1">
      <alignment horizontal="center" vertical="center" wrapText="1"/>
      <protection hidden="1"/>
    </xf>
    <xf numFmtId="0" fontId="5" fillId="2" borderId="4" xfId="0" applyFont="1" applyFill="1" applyBorder="1" applyAlignment="1" applyProtection="1">
      <alignment horizontal="center" vertical="center" wrapText="1"/>
      <protection hidden="1"/>
    </xf>
    <xf numFmtId="0" fontId="14" fillId="9" borderId="51" xfId="0" applyFont="1" applyFill="1" applyBorder="1" applyAlignment="1" applyProtection="1">
      <alignment vertical="center"/>
      <protection hidden="1"/>
    </xf>
    <xf numFmtId="0" fontId="5" fillId="2" borderId="52" xfId="0" applyFont="1" applyFill="1" applyBorder="1" applyAlignment="1" applyProtection="1">
      <alignment horizontal="center" vertical="center" wrapText="1"/>
      <protection hidden="1"/>
    </xf>
    <xf numFmtId="0" fontId="5" fillId="2" borderId="15" xfId="0" applyFont="1" applyFill="1" applyBorder="1" applyAlignment="1" applyProtection="1">
      <alignment horizontal="center" vertical="center" wrapText="1"/>
      <protection hidden="1"/>
    </xf>
    <xf numFmtId="181" fontId="1" fillId="12" borderId="0" xfId="3" applyNumberFormat="1" applyFill="1" applyAlignment="1">
      <alignment vertical="center"/>
    </xf>
    <xf numFmtId="0" fontId="1" fillId="12" borderId="0" xfId="3" applyFill="1" applyAlignment="1">
      <alignment vertical="center"/>
    </xf>
    <xf numFmtId="0" fontId="23" fillId="12" borderId="0" xfId="3" applyFont="1" applyFill="1" applyAlignment="1" applyProtection="1">
      <alignment horizontal="right" vertical="center" indent="1"/>
      <protection hidden="1"/>
    </xf>
    <xf numFmtId="0" fontId="58" fillId="12" borderId="0" xfId="3" applyFont="1" applyFill="1" applyAlignment="1" applyProtection="1">
      <alignment horizontal="left" vertical="center" indent="1"/>
      <protection hidden="1"/>
    </xf>
    <xf numFmtId="0" fontId="1" fillId="12" borderId="49" xfId="3" applyFill="1" applyBorder="1" applyAlignment="1">
      <alignment vertical="center"/>
    </xf>
    <xf numFmtId="174" fontId="59" fillId="21" borderId="75" xfId="10" applyFont="1" applyFill="1" applyBorder="1" applyAlignment="1" applyProtection="1">
      <alignment horizontal="center" vertical="center" wrapText="1"/>
      <protection hidden="1"/>
    </xf>
    <xf numFmtId="174" fontId="59" fillId="21" borderId="76" xfId="10" applyFont="1" applyFill="1" applyBorder="1" applyAlignment="1" applyProtection="1">
      <alignment horizontal="center" vertical="center" wrapText="1"/>
      <protection hidden="1"/>
    </xf>
    <xf numFmtId="174" fontId="59" fillId="21" borderId="77" xfId="10" applyFont="1" applyFill="1" applyBorder="1" applyAlignment="1" applyProtection="1">
      <alignment horizontal="center" vertical="center" wrapText="1"/>
      <protection hidden="1"/>
    </xf>
    <xf numFmtId="182" fontId="61" fillId="12" borderId="79" xfId="3" applyNumberFormat="1" applyFont="1" applyFill="1" applyBorder="1" applyAlignment="1" applyProtection="1">
      <alignment horizontal="center" vertical="center"/>
      <protection hidden="1"/>
    </xf>
    <xf numFmtId="182" fontId="61" fillId="0" borderId="78" xfId="3" applyNumberFormat="1" applyFont="1" applyBorder="1" applyAlignment="1" applyProtection="1">
      <alignment horizontal="center" vertical="center"/>
      <protection hidden="1"/>
    </xf>
    <xf numFmtId="183" fontId="61" fillId="0" borderId="78" xfId="3" applyNumberFormat="1" applyFont="1" applyBorder="1" applyAlignment="1" applyProtection="1">
      <alignment horizontal="center" vertical="center"/>
      <protection hidden="1"/>
    </xf>
    <xf numFmtId="0" fontId="24" fillId="12" borderId="0" xfId="0" applyFont="1" applyFill="1" applyAlignment="1" applyProtection="1">
      <alignment horizontal="right" vertical="center" indent="1"/>
      <protection hidden="1"/>
    </xf>
    <xf numFmtId="0" fontId="23" fillId="22" borderId="4" xfId="0" applyFont="1" applyFill="1" applyBorder="1" applyAlignment="1" applyProtection="1">
      <alignment horizontal="left" vertical="center" indent="1"/>
      <protection hidden="1"/>
    </xf>
    <xf numFmtId="174" fontId="59" fillId="21" borderId="2" xfId="10" applyFont="1" applyFill="1" applyBorder="1" applyAlignment="1" applyProtection="1">
      <alignment horizontal="center" vertical="center" wrapText="1"/>
      <protection hidden="1"/>
    </xf>
    <xf numFmtId="37" fontId="60" fillId="12" borderId="84" xfId="3" applyNumberFormat="1" applyFont="1" applyFill="1" applyBorder="1" applyAlignment="1" applyProtection="1">
      <alignment horizontal="center" vertical="center" wrapText="1"/>
      <protection hidden="1"/>
    </xf>
    <xf numFmtId="44" fontId="61" fillId="0" borderId="13" xfId="8" applyFont="1" applyBorder="1" applyAlignment="1" applyProtection="1">
      <alignment horizontal="center" vertical="center"/>
      <protection hidden="1"/>
    </xf>
    <xf numFmtId="0" fontId="16" fillId="21" borderId="80" xfId="3" applyFont="1" applyFill="1" applyBorder="1" applyAlignment="1">
      <alignment horizontal="left" vertical="center" wrapText="1" indent="1"/>
    </xf>
    <xf numFmtId="0" fontId="16" fillId="21" borderId="83" xfId="3" applyFont="1" applyFill="1" applyBorder="1" applyAlignment="1">
      <alignment horizontal="left" vertical="center" wrapText="1" indent="1"/>
    </xf>
    <xf numFmtId="0" fontId="16" fillId="21" borderId="84" xfId="3" applyFont="1" applyFill="1" applyBorder="1" applyAlignment="1">
      <alignment horizontal="left" vertical="center" wrapText="1" indent="1"/>
    </xf>
    <xf numFmtId="0" fontId="61" fillId="21" borderId="36" xfId="3" applyFont="1" applyFill="1" applyBorder="1" applyAlignment="1">
      <alignment horizontal="center" vertical="center" wrapText="1"/>
    </xf>
    <xf numFmtId="0" fontId="61" fillId="21" borderId="37" xfId="3" applyFont="1" applyFill="1" applyBorder="1" applyAlignment="1">
      <alignment horizontal="center" vertical="center" wrapText="1"/>
    </xf>
    <xf numFmtId="0" fontId="61" fillId="21" borderId="48" xfId="3" applyFont="1" applyFill="1" applyBorder="1" applyAlignment="1">
      <alignment horizontal="center" vertical="center" wrapText="1"/>
    </xf>
    <xf numFmtId="0" fontId="61" fillId="21" borderId="81" xfId="3" applyFont="1" applyFill="1" applyBorder="1" applyAlignment="1">
      <alignment horizontal="center" vertical="center" wrapText="1"/>
    </xf>
    <xf numFmtId="0" fontId="61" fillId="21" borderId="82" xfId="3" applyFont="1" applyFill="1" applyBorder="1" applyAlignment="1">
      <alignment horizontal="center" vertical="center" wrapText="1"/>
    </xf>
    <xf numFmtId="37" fontId="61" fillId="12" borderId="4" xfId="3" applyNumberFormat="1" applyFont="1" applyFill="1" applyBorder="1" applyAlignment="1" applyProtection="1">
      <alignment horizontal="center" vertical="center"/>
      <protection hidden="1"/>
    </xf>
    <xf numFmtId="182" fontId="61" fillId="12" borderId="4" xfId="3" applyNumberFormat="1" applyFont="1" applyFill="1" applyBorder="1" applyAlignment="1" applyProtection="1">
      <alignment horizontal="center" vertical="center"/>
      <protection hidden="1"/>
    </xf>
    <xf numFmtId="183" fontId="61" fillId="0" borderId="4" xfId="3" applyNumberFormat="1" applyFont="1" applyBorder="1" applyAlignment="1" applyProtection="1">
      <alignment horizontal="center" vertical="center"/>
      <protection hidden="1"/>
    </xf>
    <xf numFmtId="184" fontId="16" fillId="12" borderId="8" xfId="3" applyNumberFormat="1" applyFont="1" applyFill="1" applyBorder="1" applyAlignment="1">
      <alignment horizontal="center" vertical="center" wrapText="1"/>
    </xf>
    <xf numFmtId="37" fontId="61" fillId="12" borderId="14" xfId="3" applyNumberFormat="1" applyFont="1" applyFill="1" applyBorder="1" applyAlignment="1" applyProtection="1">
      <alignment horizontal="center" vertical="center"/>
      <protection hidden="1"/>
    </xf>
    <xf numFmtId="182" fontId="61" fillId="12" borderId="14" xfId="3" applyNumberFormat="1" applyFont="1" applyFill="1" applyBorder="1" applyAlignment="1" applyProtection="1">
      <alignment horizontal="center" vertical="center"/>
      <protection hidden="1"/>
    </xf>
    <xf numFmtId="44" fontId="61" fillId="0" borderId="9" xfId="8" applyFont="1" applyBorder="1" applyAlignment="1" applyProtection="1">
      <alignment horizontal="center" vertical="center"/>
      <protection hidden="1"/>
    </xf>
    <xf numFmtId="184" fontId="16" fillId="12" borderId="10" xfId="3" applyNumberFormat="1" applyFont="1" applyFill="1" applyBorder="1" applyAlignment="1">
      <alignment horizontal="center" vertical="center" wrapText="1"/>
    </xf>
    <xf numFmtId="44" fontId="61" fillId="0" borderId="11" xfId="8" applyFont="1" applyBorder="1" applyAlignment="1" applyProtection="1">
      <alignment horizontal="center" vertical="center"/>
      <protection hidden="1"/>
    </xf>
    <xf numFmtId="184" fontId="16" fillId="12" borderId="12" xfId="3" applyNumberFormat="1" applyFont="1" applyFill="1" applyBorder="1" applyAlignment="1">
      <alignment horizontal="center" vertical="center" wrapText="1"/>
    </xf>
    <xf numFmtId="37" fontId="61" fillId="12" borderId="15" xfId="3" applyNumberFormat="1" applyFont="1" applyFill="1" applyBorder="1" applyAlignment="1" applyProtection="1">
      <alignment horizontal="center" vertical="center"/>
      <protection hidden="1"/>
    </xf>
    <xf numFmtId="182" fontId="61" fillId="12" borderId="15" xfId="3" applyNumberFormat="1" applyFont="1" applyFill="1" applyBorder="1" applyAlignment="1" applyProtection="1">
      <alignment horizontal="center" vertical="center"/>
      <protection hidden="1"/>
    </xf>
    <xf numFmtId="183" fontId="61" fillId="0" borderId="15" xfId="3" applyNumberFormat="1" applyFont="1" applyBorder="1" applyAlignment="1" applyProtection="1">
      <alignment horizontal="center" vertical="center"/>
      <protection hidden="1"/>
    </xf>
    <xf numFmtId="183" fontId="61" fillId="0" borderId="14" xfId="3" applyNumberFormat="1" applyFont="1" applyBorder="1" applyAlignment="1" applyProtection="1">
      <alignment horizontal="center" vertical="center"/>
      <protection hidden="1"/>
    </xf>
    <xf numFmtId="0" fontId="11" fillId="2" borderId="0" xfId="0" applyFont="1" applyFill="1" applyAlignment="1" applyProtection="1">
      <alignment horizontal="right" vertical="center"/>
      <protection hidden="1"/>
    </xf>
    <xf numFmtId="0" fontId="57" fillId="2" borderId="0" xfId="0" applyFont="1" applyFill="1" applyAlignment="1" applyProtection="1">
      <alignment horizontal="center" vertical="center"/>
      <protection hidden="1"/>
    </xf>
    <xf numFmtId="180" fontId="16" fillId="14" borderId="4" xfId="0" applyNumberFormat="1" applyFont="1" applyFill="1" applyBorder="1" applyAlignment="1" applyProtection="1">
      <alignment vertical="center"/>
      <protection locked="0"/>
    </xf>
    <xf numFmtId="10" fontId="0" fillId="2" borderId="4" xfId="9" applyNumberFormat="1" applyFont="1" applyFill="1" applyBorder="1"/>
    <xf numFmtId="167" fontId="16" fillId="2" borderId="4" xfId="0" applyNumberFormat="1" applyFont="1" applyFill="1" applyBorder="1" applyAlignment="1" applyProtection="1">
      <alignment vertical="center"/>
      <protection locked="0"/>
    </xf>
    <xf numFmtId="0" fontId="17" fillId="2" borderId="0" xfId="0" applyFont="1" applyFill="1"/>
    <xf numFmtId="9" fontId="1" fillId="2" borderId="4" xfId="9" applyFill="1" applyBorder="1" applyAlignment="1" applyProtection="1">
      <alignment vertical="center"/>
      <protection locked="0"/>
    </xf>
    <xf numFmtId="9" fontId="16" fillId="2" borderId="4" xfId="9" applyFont="1" applyFill="1" applyBorder="1" applyAlignment="1" applyProtection="1">
      <alignment vertical="center"/>
      <protection locked="0"/>
    </xf>
    <xf numFmtId="44" fontId="0" fillId="2" borderId="4" xfId="8" applyFont="1" applyFill="1" applyBorder="1"/>
    <xf numFmtId="180" fontId="16" fillId="2" borderId="4" xfId="0" applyNumberFormat="1" applyFont="1" applyFill="1" applyBorder="1" applyAlignment="1" applyProtection="1">
      <alignment vertical="center"/>
      <protection locked="0"/>
    </xf>
    <xf numFmtId="179" fontId="16" fillId="2" borderId="4" xfId="9" applyNumberFormat="1" applyFont="1" applyFill="1" applyBorder="1" applyAlignment="1" applyProtection="1">
      <alignment vertical="center"/>
      <protection locked="0"/>
    </xf>
    <xf numFmtId="0" fontId="17" fillId="7" borderId="4" xfId="0" applyFont="1" applyFill="1" applyBorder="1"/>
    <xf numFmtId="9" fontId="0" fillId="2" borderId="27" xfId="9" applyFont="1" applyFill="1" applyBorder="1"/>
    <xf numFmtId="0" fontId="17" fillId="7" borderId="27" xfId="0" applyFont="1" applyFill="1" applyBorder="1"/>
    <xf numFmtId="9" fontId="16" fillId="2" borderId="27" xfId="9" applyFont="1" applyFill="1" applyBorder="1" applyAlignment="1" applyProtection="1">
      <alignment vertical="center"/>
      <protection locked="0"/>
    </xf>
    <xf numFmtId="167" fontId="16" fillId="2" borderId="27" xfId="0" applyNumberFormat="1" applyFont="1" applyFill="1" applyBorder="1" applyAlignment="1" applyProtection="1">
      <alignment vertical="center"/>
      <protection locked="0"/>
    </xf>
    <xf numFmtId="0" fontId="0" fillId="2" borderId="27" xfId="0" applyFill="1" applyBorder="1"/>
    <xf numFmtId="167" fontId="16" fillId="2" borderId="10" xfId="0" applyNumberFormat="1" applyFont="1" applyFill="1" applyBorder="1" applyAlignment="1" applyProtection="1">
      <alignment vertical="center"/>
      <protection locked="0"/>
    </xf>
    <xf numFmtId="0" fontId="17" fillId="7" borderId="10" xfId="0" applyFont="1" applyFill="1" applyBorder="1"/>
    <xf numFmtId="0" fontId="0" fillId="2" borderId="10" xfId="0" applyFill="1" applyBorder="1"/>
    <xf numFmtId="44" fontId="0" fillId="2" borderId="10" xfId="8" applyFont="1" applyFill="1" applyBorder="1"/>
    <xf numFmtId="167" fontId="16" fillId="14" borderId="10" xfId="0" applyNumberFormat="1" applyFont="1" applyFill="1" applyBorder="1" applyAlignment="1" applyProtection="1">
      <alignment vertical="center"/>
      <protection locked="0"/>
    </xf>
    <xf numFmtId="0" fontId="62" fillId="23" borderId="85" xfId="0" applyFont="1" applyFill="1" applyBorder="1" applyAlignment="1">
      <alignment horizontal="center" vertical="center" wrapText="1"/>
    </xf>
    <xf numFmtId="0" fontId="62" fillId="23" borderId="86" xfId="0" applyFont="1" applyFill="1" applyBorder="1" applyAlignment="1">
      <alignment horizontal="center" vertical="center" wrapText="1"/>
    </xf>
    <xf numFmtId="0" fontId="63" fillId="24" borderId="89" xfId="0" applyFont="1" applyFill="1" applyBorder="1" applyAlignment="1">
      <alignment horizontal="center" vertical="center" wrapText="1"/>
    </xf>
    <xf numFmtId="0" fontId="63" fillId="25" borderId="89" xfId="0" applyFont="1" applyFill="1" applyBorder="1" applyAlignment="1">
      <alignment horizontal="center" vertical="center" wrapText="1"/>
    </xf>
    <xf numFmtId="0" fontId="63" fillId="25" borderId="87" xfId="0" applyFont="1" applyFill="1" applyBorder="1" applyAlignment="1">
      <alignment vertical="center" wrapText="1"/>
    </xf>
    <xf numFmtId="0" fontId="63" fillId="24" borderId="87" xfId="0" applyFont="1" applyFill="1" applyBorder="1" applyAlignment="1">
      <alignment vertical="center" wrapText="1"/>
    </xf>
    <xf numFmtId="0" fontId="63" fillId="25" borderId="87" xfId="0" applyFont="1" applyFill="1" applyBorder="1" applyAlignment="1">
      <alignment horizontal="center" vertical="center" wrapText="1"/>
    </xf>
    <xf numFmtId="0" fontId="62" fillId="23" borderId="91" xfId="0" applyFont="1" applyFill="1" applyBorder="1" applyAlignment="1">
      <alignment horizontal="center" vertical="center" wrapText="1"/>
    </xf>
    <xf numFmtId="0" fontId="62" fillId="23" borderId="92" xfId="0" applyFont="1" applyFill="1" applyBorder="1" applyAlignment="1">
      <alignment horizontal="center" vertical="center" wrapText="1"/>
    </xf>
    <xf numFmtId="3" fontId="63" fillId="25" borderId="87" xfId="0" applyNumberFormat="1" applyFont="1" applyFill="1" applyBorder="1" applyAlignment="1">
      <alignment horizontal="center" vertical="center" wrapText="1"/>
    </xf>
    <xf numFmtId="3" fontId="63" fillId="24" borderId="87" xfId="0" applyNumberFormat="1" applyFont="1" applyFill="1" applyBorder="1" applyAlignment="1">
      <alignment horizontal="center" vertical="center" wrapText="1"/>
    </xf>
    <xf numFmtId="0" fontId="63" fillId="24" borderId="90" xfId="0" applyFont="1" applyFill="1" applyBorder="1" applyAlignment="1">
      <alignment horizontal="left" vertical="top" wrapText="1"/>
    </xf>
    <xf numFmtId="0" fontId="63" fillId="24" borderId="89" xfId="0" applyFont="1" applyFill="1" applyBorder="1" applyAlignment="1">
      <alignment horizontal="left" vertical="top" wrapText="1"/>
    </xf>
    <xf numFmtId="0" fontId="63" fillId="25" borderId="90" xfId="0" applyFont="1" applyFill="1" applyBorder="1" applyAlignment="1">
      <alignment horizontal="left" vertical="top" wrapText="1"/>
    </xf>
    <xf numFmtId="0" fontId="63" fillId="25" borderId="89" xfId="0" applyFont="1" applyFill="1" applyBorder="1" applyAlignment="1">
      <alignment horizontal="left" vertical="top" wrapText="1"/>
    </xf>
    <xf numFmtId="0" fontId="64" fillId="2" borderId="0" xfId="90" applyFill="1" applyAlignment="1">
      <alignment vertical="center"/>
    </xf>
    <xf numFmtId="0" fontId="63" fillId="24" borderId="91" xfId="0" applyFont="1" applyFill="1" applyBorder="1" applyAlignment="1">
      <alignment horizontal="center" vertical="center" wrapText="1"/>
    </xf>
    <xf numFmtId="3" fontId="63" fillId="24" borderId="91" xfId="0" applyNumberFormat="1" applyFont="1" applyFill="1" applyBorder="1" applyAlignment="1">
      <alignment horizontal="center" vertical="center" wrapText="1"/>
    </xf>
    <xf numFmtId="3" fontId="63" fillId="25" borderId="89" xfId="0" applyNumberFormat="1" applyFont="1" applyFill="1" applyBorder="1" applyAlignment="1">
      <alignment horizontal="center" vertical="center" wrapText="1"/>
    </xf>
    <xf numFmtId="3" fontId="63" fillId="24" borderId="89" xfId="0" applyNumberFormat="1" applyFont="1" applyFill="1" applyBorder="1" applyAlignment="1">
      <alignment horizontal="center" vertical="center" wrapText="1"/>
    </xf>
    <xf numFmtId="0" fontId="0" fillId="2" borderId="0" xfId="0" applyFill="1" applyAlignment="1">
      <alignment vertical="top"/>
    </xf>
    <xf numFmtId="14" fontId="0" fillId="2" borderId="0" xfId="0" applyNumberFormat="1" applyFill="1" applyAlignment="1">
      <alignment vertical="top"/>
    </xf>
    <xf numFmtId="0" fontId="0" fillId="2" borderId="0" xfId="0" applyFill="1" applyAlignment="1">
      <alignment vertical="top" wrapText="1"/>
    </xf>
    <xf numFmtId="0" fontId="17" fillId="2" borderId="0" xfId="0" applyFont="1" applyFill="1" applyAlignment="1">
      <alignment vertical="top"/>
    </xf>
    <xf numFmtId="0" fontId="17" fillId="2" borderId="54" xfId="0" applyFont="1" applyFill="1" applyBorder="1" applyAlignment="1">
      <alignment horizontal="center" vertical="center"/>
    </xf>
    <xf numFmtId="14" fontId="17" fillId="2" borderId="30" xfId="0" applyNumberFormat="1" applyFont="1" applyFill="1" applyBorder="1" applyAlignment="1">
      <alignment horizontal="center" vertical="center"/>
    </xf>
    <xf numFmtId="0" fontId="17" fillId="2" borderId="30" xfId="0" applyFont="1" applyFill="1" applyBorder="1" applyAlignment="1">
      <alignment horizontal="center" vertical="center"/>
    </xf>
    <xf numFmtId="0" fontId="17" fillId="2" borderId="30" xfId="0" applyFont="1" applyFill="1" applyBorder="1" applyAlignment="1">
      <alignment horizontal="center" vertical="center" wrapText="1"/>
    </xf>
    <xf numFmtId="0" fontId="17" fillId="2" borderId="31" xfId="0" applyFont="1" applyFill="1" applyBorder="1" applyAlignment="1">
      <alignment horizontal="center" vertical="center"/>
    </xf>
    <xf numFmtId="14" fontId="0" fillId="2" borderId="4" xfId="0" applyNumberFormat="1" applyFill="1" applyBorder="1" applyAlignment="1">
      <alignment horizontal="left" vertical="center" indent="1"/>
    </xf>
    <xf numFmtId="0" fontId="0" fillId="2" borderId="4" xfId="0" applyFill="1" applyBorder="1" applyAlignment="1">
      <alignment horizontal="left" vertical="center" wrapText="1" indent="1"/>
    </xf>
    <xf numFmtId="0" fontId="0" fillId="2" borderId="4" xfId="0" applyFill="1" applyBorder="1" applyAlignment="1">
      <alignment horizontal="left" vertical="center" indent="1"/>
    </xf>
    <xf numFmtId="164" fontId="0" fillId="2" borderId="55" xfId="0" applyNumberFormat="1" applyFill="1" applyBorder="1" applyAlignment="1">
      <alignment horizontal="left" vertical="center"/>
    </xf>
    <xf numFmtId="14" fontId="0" fillId="2" borderId="34" xfId="0" applyNumberFormat="1" applyFill="1" applyBorder="1" applyAlignment="1">
      <alignment horizontal="left" vertical="center" indent="1"/>
    </xf>
    <xf numFmtId="0" fontId="0" fillId="2" borderId="34" xfId="0" applyFill="1" applyBorder="1" applyAlignment="1">
      <alignment horizontal="left" vertical="center" indent="1"/>
    </xf>
    <xf numFmtId="0" fontId="0" fillId="2" borderId="34" xfId="0" applyFill="1" applyBorder="1" applyAlignment="1">
      <alignment horizontal="left" vertical="center" wrapText="1" indent="1"/>
    </xf>
    <xf numFmtId="0" fontId="63" fillId="24" borderId="90" xfId="0" applyFont="1" applyFill="1" applyBorder="1" applyAlignment="1">
      <alignment horizontal="center" vertical="center" wrapText="1"/>
    </xf>
    <xf numFmtId="3" fontId="63" fillId="24" borderId="90" xfId="0" applyNumberFormat="1" applyFont="1" applyFill="1" applyBorder="1" applyAlignment="1">
      <alignment horizontal="center" vertical="center" wrapText="1"/>
    </xf>
    <xf numFmtId="3" fontId="63" fillId="25" borderId="85" xfId="0" applyNumberFormat="1" applyFont="1" applyFill="1" applyBorder="1" applyAlignment="1">
      <alignment horizontal="center" vertical="center" wrapText="1"/>
    </xf>
    <xf numFmtId="3" fontId="63" fillId="25" borderId="86" xfId="0" applyNumberFormat="1" applyFont="1" applyFill="1" applyBorder="1" applyAlignment="1">
      <alignment horizontal="center" vertical="center" wrapText="1"/>
    </xf>
    <xf numFmtId="3" fontId="63" fillId="25" borderId="86" xfId="0" quotePrefix="1" applyNumberFormat="1" applyFont="1" applyFill="1" applyBorder="1" applyAlignment="1">
      <alignment horizontal="center" vertical="center" wrapText="1"/>
    </xf>
    <xf numFmtId="0" fontId="6" fillId="7" borderId="0" xfId="0" applyFont="1" applyFill="1" applyAlignment="1" applyProtection="1">
      <alignment horizontal="center" vertical="center" wrapText="1"/>
      <protection hidden="1"/>
    </xf>
    <xf numFmtId="2" fontId="5" fillId="7" borderId="0" xfId="0" applyNumberFormat="1" applyFont="1" applyFill="1" applyAlignment="1" applyProtection="1">
      <alignment horizontal="center" vertical="center" wrapText="1"/>
      <protection hidden="1"/>
    </xf>
    <xf numFmtId="0" fontId="50" fillId="0" borderId="0" xfId="0" applyFont="1" applyAlignment="1" applyProtection="1">
      <alignment vertical="center"/>
      <protection hidden="1"/>
    </xf>
    <xf numFmtId="0" fontId="66" fillId="7" borderId="49" xfId="0" applyFont="1" applyFill="1" applyBorder="1" applyAlignment="1" applyProtection="1">
      <alignment vertical="center"/>
      <protection hidden="1"/>
    </xf>
    <xf numFmtId="0" fontId="67" fillId="0" borderId="0" xfId="0" applyFont="1" applyAlignment="1" applyProtection="1">
      <alignment horizontal="center" vertical="center" wrapText="1"/>
      <protection hidden="1"/>
    </xf>
    <xf numFmtId="0" fontId="16" fillId="12" borderId="0" xfId="0" applyFont="1" applyFill="1" applyAlignment="1" applyProtection="1">
      <alignment vertical="center"/>
      <protection hidden="1"/>
    </xf>
    <xf numFmtId="0" fontId="16" fillId="12" borderId="0" xfId="0" applyFont="1" applyFill="1" applyAlignment="1" applyProtection="1">
      <alignment horizontal="right" vertical="center"/>
      <protection hidden="1"/>
    </xf>
    <xf numFmtId="0" fontId="16" fillId="12" borderId="5" xfId="0" applyFont="1" applyFill="1" applyBorder="1" applyAlignment="1" applyProtection="1">
      <alignment vertical="center"/>
      <protection hidden="1"/>
    </xf>
    <xf numFmtId="0" fontId="16" fillId="12" borderId="0" xfId="0" applyFont="1" applyFill="1" applyAlignment="1" applyProtection="1">
      <alignment horizontal="left" vertical="center"/>
      <protection hidden="1"/>
    </xf>
    <xf numFmtId="3" fontId="5" fillId="2" borderId="54" xfId="0" applyNumberFormat="1" applyFont="1" applyFill="1" applyBorder="1" applyAlignment="1" applyProtection="1">
      <alignment horizontal="center" vertical="center" wrapText="1"/>
      <protection locked="0"/>
    </xf>
    <xf numFmtId="2" fontId="5" fillId="2" borderId="30" xfId="0" applyNumberFormat="1" applyFont="1" applyFill="1" applyBorder="1" applyAlignment="1" applyProtection="1">
      <alignment horizontal="center" vertical="center" wrapText="1"/>
      <protection locked="0"/>
    </xf>
    <xf numFmtId="3" fontId="5" fillId="2" borderId="7" xfId="0" applyNumberFormat="1" applyFont="1" applyFill="1" applyBorder="1" applyAlignment="1" applyProtection="1">
      <alignment horizontal="center" vertical="center" wrapText="1"/>
      <protection locked="0"/>
    </xf>
    <xf numFmtId="3" fontId="5" fillId="2" borderId="19" xfId="0" applyNumberFormat="1" applyFont="1" applyFill="1" applyBorder="1" applyAlignment="1" applyProtection="1">
      <alignment horizontal="center" vertical="center" wrapText="1"/>
      <protection locked="0"/>
    </xf>
    <xf numFmtId="2" fontId="5" fillId="2" borderId="15" xfId="0" applyNumberFormat="1" applyFont="1" applyFill="1" applyBorder="1" applyAlignment="1" applyProtection="1">
      <alignment horizontal="center" vertical="center" wrapText="1"/>
      <protection locked="0"/>
    </xf>
    <xf numFmtId="0" fontId="0" fillId="4" borderId="63" xfId="0" applyFill="1" applyBorder="1" applyAlignment="1">
      <alignment horizontal="center" vertical="center"/>
    </xf>
    <xf numFmtId="0" fontId="0" fillId="4" borderId="27" xfId="3" applyFont="1" applyFill="1" applyBorder="1" applyAlignment="1">
      <alignment horizontal="center" vertical="center"/>
    </xf>
    <xf numFmtId="0" fontId="0" fillId="4" borderId="27" xfId="3" applyFont="1" applyFill="1" applyBorder="1" applyAlignment="1">
      <alignment horizontal="center" vertical="center" wrapText="1"/>
    </xf>
    <xf numFmtId="0" fontId="1" fillId="2" borderId="74" xfId="3" applyFill="1" applyBorder="1" applyAlignment="1">
      <alignment horizontal="center" vertical="center" textRotation="90"/>
    </xf>
    <xf numFmtId="0" fontId="0" fillId="4" borderId="96" xfId="3" applyFont="1" applyFill="1" applyBorder="1" applyAlignment="1">
      <alignment horizontal="center" vertical="center"/>
    </xf>
    <xf numFmtId="0" fontId="11" fillId="0" borderId="0" xfId="0" applyFont="1" applyAlignment="1" applyProtection="1">
      <alignment horizontal="center" vertical="center"/>
      <protection hidden="1"/>
    </xf>
    <xf numFmtId="3" fontId="11" fillId="7" borderId="15" xfId="0" applyNumberFormat="1" applyFont="1" applyFill="1" applyBorder="1" applyAlignment="1" applyProtection="1">
      <alignment horizontal="center" vertical="center" wrapText="1"/>
      <protection hidden="1"/>
    </xf>
    <xf numFmtId="44" fontId="11" fillId="7" borderId="15" xfId="8" applyFont="1" applyFill="1" applyBorder="1" applyAlignment="1" applyProtection="1">
      <alignment vertical="center"/>
      <protection hidden="1"/>
    </xf>
    <xf numFmtId="0" fontId="24" fillId="12" borderId="0" xfId="3" applyFont="1" applyFill="1" applyAlignment="1">
      <alignment vertical="center"/>
    </xf>
    <xf numFmtId="2" fontId="0" fillId="0" borderId="0" xfId="0" applyNumberFormat="1"/>
    <xf numFmtId="0" fontId="0" fillId="3" borderId="7" xfId="0" applyFill="1" applyBorder="1" applyAlignment="1">
      <alignment horizontal="center"/>
    </xf>
    <xf numFmtId="0" fontId="17" fillId="7" borderId="6" xfId="0" applyFont="1" applyFill="1" applyBorder="1"/>
    <xf numFmtId="0" fontId="0" fillId="4" borderId="4" xfId="3" applyFont="1" applyFill="1" applyBorder="1" applyAlignment="1">
      <alignment horizontal="left" vertical="center"/>
    </xf>
    <xf numFmtId="165" fontId="0" fillId="2" borderId="10" xfId="3" applyNumberFormat="1" applyFont="1" applyFill="1" applyBorder="1" applyAlignment="1">
      <alignment horizontal="center" vertical="center"/>
    </xf>
    <xf numFmtId="0" fontId="68" fillId="2" borderId="10" xfId="0" applyFont="1" applyFill="1" applyBorder="1" applyAlignment="1">
      <alignment horizontal="center"/>
    </xf>
    <xf numFmtId="0" fontId="68" fillId="2" borderId="11" xfId="0" applyFont="1" applyFill="1" applyBorder="1" applyAlignment="1">
      <alignment horizontal="center"/>
    </xf>
    <xf numFmtId="164" fontId="68" fillId="2" borderId="10" xfId="0" applyNumberFormat="1" applyFont="1" applyFill="1" applyBorder="1" applyAlignment="1">
      <alignment horizontal="center"/>
    </xf>
    <xf numFmtId="0" fontId="68" fillId="2" borderId="4" xfId="0" applyFont="1" applyFill="1" applyBorder="1" applyAlignment="1">
      <alignment horizontal="center"/>
    </xf>
    <xf numFmtId="0" fontId="69" fillId="4" borderId="0" xfId="1" applyFont="1" applyFill="1" applyAlignment="1">
      <alignment horizontal="left"/>
    </xf>
    <xf numFmtId="0" fontId="4" fillId="4" borderId="0" xfId="1" applyFill="1"/>
    <xf numFmtId="0" fontId="4" fillId="4" borderId="0" xfId="1" applyFill="1" applyAlignment="1">
      <alignment horizontal="left" wrapText="1"/>
    </xf>
    <xf numFmtId="0" fontId="70" fillId="4" borderId="0" xfId="1" applyFont="1" applyFill="1"/>
    <xf numFmtId="0" fontId="4" fillId="4" borderId="0" xfId="1" applyFill="1" applyAlignment="1">
      <alignment vertical="top"/>
    </xf>
    <xf numFmtId="0" fontId="4" fillId="4" borderId="0" xfId="1" quotePrefix="1" applyFill="1" applyAlignment="1">
      <alignment horizontal="right"/>
    </xf>
    <xf numFmtId="0" fontId="4" fillId="4" borderId="0" xfId="1" applyFill="1" applyAlignment="1">
      <alignment horizontal="right"/>
    </xf>
    <xf numFmtId="0" fontId="4" fillId="4" borderId="0" xfId="1" applyFill="1" applyAlignment="1">
      <alignment horizontal="left"/>
    </xf>
    <xf numFmtId="0" fontId="72" fillId="4" borderId="0" xfId="1" quotePrefix="1" applyFont="1" applyFill="1" applyAlignment="1">
      <alignment horizontal="right"/>
    </xf>
    <xf numFmtId="0" fontId="72" fillId="4" borderId="0" xfId="1" applyFont="1" applyFill="1"/>
    <xf numFmtId="0" fontId="4" fillId="4" borderId="0" xfId="1" quotePrefix="1" applyFill="1"/>
    <xf numFmtId="0" fontId="0" fillId="4" borderId="21" xfId="0" applyFill="1" applyBorder="1" applyAlignment="1">
      <alignment horizontal="center" vertical="center" wrapText="1"/>
    </xf>
    <xf numFmtId="0" fontId="0" fillId="0" borderId="63" xfId="0" applyBorder="1"/>
    <xf numFmtId="0" fontId="73" fillId="4" borderId="0" xfId="1" applyFont="1" applyFill="1"/>
    <xf numFmtId="0" fontId="74" fillId="12" borderId="0" xfId="0" applyFont="1" applyFill="1" applyAlignment="1" applyProtection="1">
      <alignment horizontal="left" vertical="center"/>
      <protection hidden="1"/>
    </xf>
    <xf numFmtId="0" fontId="75" fillId="12" borderId="0" xfId="1" applyFont="1" applyFill="1" applyAlignment="1" applyProtection="1">
      <alignment vertical="center"/>
      <protection hidden="1"/>
    </xf>
    <xf numFmtId="0" fontId="54" fillId="2" borderId="0" xfId="0" applyFont="1" applyFill="1"/>
    <xf numFmtId="0" fontId="0" fillId="4" borderId="11" xfId="0" applyFill="1" applyBorder="1" applyAlignment="1">
      <alignment vertical="center"/>
    </xf>
    <xf numFmtId="0" fontId="0" fillId="2" borderId="34" xfId="0" applyFill="1" applyBorder="1"/>
    <xf numFmtId="0" fontId="0" fillId="2" borderId="41" xfId="0" applyFill="1" applyBorder="1"/>
    <xf numFmtId="0" fontId="0" fillId="3" borderId="27" xfId="0" applyFill="1" applyBorder="1" applyAlignment="1">
      <alignment horizontal="center"/>
    </xf>
    <xf numFmtId="2" fontId="0" fillId="3" borderId="27" xfId="0" applyNumberFormat="1" applyFill="1" applyBorder="1" applyAlignment="1">
      <alignment horizontal="center"/>
    </xf>
    <xf numFmtId="0" fontId="0" fillId="3" borderId="33" xfId="0" applyFill="1" applyBorder="1" applyAlignment="1">
      <alignment horizontal="center"/>
    </xf>
    <xf numFmtId="0" fontId="0" fillId="2" borderId="97" xfId="0" applyFill="1" applyBorder="1"/>
    <xf numFmtId="0" fontId="0" fillId="0" borderId="97" xfId="0" applyBorder="1"/>
    <xf numFmtId="0" fontId="0" fillId="2" borderId="98" xfId="0" applyFill="1" applyBorder="1"/>
    <xf numFmtId="0" fontId="0" fillId="4" borderId="99" xfId="0" applyFill="1" applyBorder="1" applyAlignment="1">
      <alignment horizontal="center"/>
    </xf>
    <xf numFmtId="164" fontId="0" fillId="2" borderId="99" xfId="0" applyNumberFormat="1" applyFill="1" applyBorder="1" applyAlignment="1">
      <alignment horizontal="center" vertical="center"/>
    </xf>
    <xf numFmtId="0" fontId="0" fillId="2" borderId="100" xfId="0" applyFill="1" applyBorder="1" applyAlignment="1">
      <alignment horizontal="center" vertical="center"/>
    </xf>
    <xf numFmtId="2" fontId="0" fillId="3" borderId="6" xfId="0" applyNumberFormat="1" applyFill="1" applyBorder="1" applyAlignment="1">
      <alignment horizontal="center"/>
    </xf>
    <xf numFmtId="2" fontId="0" fillId="3" borderId="73" xfId="0" applyNumberFormat="1" applyFill="1" applyBorder="1" applyAlignment="1">
      <alignment horizontal="center"/>
    </xf>
    <xf numFmtId="0" fontId="0" fillId="2" borderId="63" xfId="0" applyFill="1" applyBorder="1"/>
    <xf numFmtId="0" fontId="0" fillId="2" borderId="73" xfId="0" applyFill="1" applyBorder="1"/>
    <xf numFmtId="0" fontId="0" fillId="2" borderId="73" xfId="0" applyFill="1" applyBorder="1" applyAlignment="1">
      <alignment horizontal="center"/>
    </xf>
    <xf numFmtId="0" fontId="0" fillId="4" borderId="56" xfId="0" applyFill="1" applyBorder="1" applyAlignment="1">
      <alignment horizontal="center" vertical="center" wrapText="1"/>
    </xf>
    <xf numFmtId="0" fontId="0" fillId="2" borderId="52" xfId="0" applyFill="1" applyBorder="1" applyAlignment="1">
      <alignment horizontal="left" vertical="center"/>
    </xf>
    <xf numFmtId="0" fontId="0" fillId="2" borderId="25" xfId="0" applyFill="1" applyBorder="1" applyAlignment="1">
      <alignment horizontal="left" vertical="center"/>
    </xf>
    <xf numFmtId="0" fontId="3" fillId="2" borderId="97" xfId="0" applyFont="1" applyFill="1" applyBorder="1"/>
    <xf numFmtId="0" fontId="0" fillId="2" borderId="101" xfId="0" applyFill="1" applyBorder="1"/>
    <xf numFmtId="0" fontId="0" fillId="4" borderId="6" xfId="0" applyFill="1" applyBorder="1" applyAlignment="1">
      <alignment horizontal="center"/>
    </xf>
    <xf numFmtId="164" fontId="0" fillId="2" borderId="6" xfId="0" applyNumberFormat="1" applyFill="1" applyBorder="1" applyAlignment="1">
      <alignment horizontal="center" vertical="center"/>
    </xf>
    <xf numFmtId="0" fontId="0" fillId="2" borderId="73" xfId="0" applyFill="1" applyBorder="1" applyAlignment="1">
      <alignment horizontal="center" vertical="center"/>
    </xf>
    <xf numFmtId="164" fontId="0" fillId="2" borderId="73" xfId="0" applyNumberFormat="1" applyFill="1" applyBorder="1" applyAlignment="1">
      <alignment horizontal="center" vertical="center"/>
    </xf>
    <xf numFmtId="0" fontId="0" fillId="3" borderId="8" xfId="0" applyFill="1" applyBorder="1" applyAlignment="1">
      <alignment horizontal="center"/>
    </xf>
    <xf numFmtId="0" fontId="0" fillId="3" borderId="45" xfId="0" applyFill="1" applyBorder="1" applyAlignment="1">
      <alignment horizontal="center"/>
    </xf>
    <xf numFmtId="0" fontId="0" fillId="3" borderId="9" xfId="0" applyFill="1" applyBorder="1" applyAlignment="1">
      <alignment horizontal="center"/>
    </xf>
    <xf numFmtId="2" fontId="0" fillId="3" borderId="9" xfId="0" applyNumberFormat="1" applyFill="1" applyBorder="1" applyAlignment="1">
      <alignment horizontal="center"/>
    </xf>
    <xf numFmtId="0" fontId="0" fillId="4" borderId="8" xfId="0" applyFill="1" applyBorder="1" applyAlignment="1">
      <alignment horizontal="center"/>
    </xf>
    <xf numFmtId="0" fontId="0" fillId="4" borderId="45" xfId="0" applyFill="1" applyBorder="1" applyAlignment="1">
      <alignment horizontal="center"/>
    </xf>
    <xf numFmtId="0" fontId="0" fillId="4" borderId="29" xfId="0" applyFill="1" applyBorder="1" applyAlignment="1">
      <alignment horizontal="center"/>
    </xf>
    <xf numFmtId="0" fontId="5" fillId="0" borderId="27" xfId="0" applyFont="1" applyBorder="1" applyAlignment="1" applyProtection="1">
      <alignment horizontal="center" vertical="center" wrapText="1"/>
      <protection locked="0"/>
    </xf>
    <xf numFmtId="0" fontId="5" fillId="0" borderId="52" xfId="0" applyFont="1" applyBorder="1" applyAlignment="1" applyProtection="1">
      <alignment horizontal="center" vertical="center" wrapText="1"/>
      <protection locked="0"/>
    </xf>
    <xf numFmtId="0" fontId="49" fillId="2" borderId="11" xfId="0" applyFont="1" applyFill="1" applyBorder="1" applyAlignment="1" applyProtection="1">
      <alignment horizontal="center" vertical="center" wrapText="1"/>
      <protection locked="0"/>
    </xf>
    <xf numFmtId="0" fontId="5" fillId="0" borderId="25"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0" borderId="33"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2" borderId="15" xfId="0" applyFont="1" applyFill="1" applyBorder="1" applyAlignment="1" applyProtection="1">
      <alignment horizontal="center" vertical="center" wrapText="1"/>
      <protection locked="0"/>
    </xf>
    <xf numFmtId="3" fontId="5" fillId="2" borderId="33" xfId="0" applyNumberFormat="1" applyFont="1" applyFill="1" applyBorder="1" applyAlignment="1" applyProtection="1">
      <alignment horizontal="center" vertical="center" wrapText="1"/>
      <protection locked="0"/>
    </xf>
    <xf numFmtId="0" fontId="5" fillId="2" borderId="33" xfId="0" applyFont="1" applyFill="1" applyBorder="1" applyAlignment="1" applyProtection="1">
      <alignment horizontal="center" vertical="center" wrapText="1"/>
      <protection locked="0"/>
    </xf>
    <xf numFmtId="0" fontId="5" fillId="2" borderId="13" xfId="0" applyFont="1" applyFill="1" applyBorder="1" applyAlignment="1" applyProtection="1">
      <alignment horizontal="center" vertical="center" wrapText="1"/>
      <protection locked="0"/>
    </xf>
    <xf numFmtId="0" fontId="5" fillId="2" borderId="33" xfId="4" applyFont="1" applyFill="1" applyBorder="1" applyAlignment="1" applyProtection="1">
      <alignment horizontal="center" vertical="center" wrapText="1"/>
      <protection locked="0"/>
    </xf>
    <xf numFmtId="3" fontId="49" fillId="0" borderId="15" xfId="0" applyNumberFormat="1" applyFont="1" applyBorder="1" applyAlignment="1" applyProtection="1">
      <alignment horizontal="center" vertical="center" wrapText="1"/>
      <protection locked="0"/>
    </xf>
    <xf numFmtId="0" fontId="49" fillId="2" borderId="13" xfId="0" applyFont="1" applyFill="1" applyBorder="1" applyAlignment="1" applyProtection="1">
      <alignment horizontal="center" vertical="center" wrapText="1"/>
      <protection locked="0"/>
    </xf>
    <xf numFmtId="0" fontId="49" fillId="0" borderId="4" xfId="0" applyFont="1" applyBorder="1" applyAlignment="1" applyProtection="1">
      <alignment horizontal="center" vertical="center" wrapText="1"/>
      <protection locked="0" hidden="1"/>
    </xf>
    <xf numFmtId="0" fontId="49" fillId="0" borderId="15" xfId="0" applyFont="1" applyBorder="1" applyAlignment="1" applyProtection="1">
      <alignment horizontal="center" vertical="center" wrapText="1"/>
      <protection locked="0" hidden="1"/>
    </xf>
    <xf numFmtId="0" fontId="49" fillId="2" borderId="27" xfId="0" applyFont="1" applyFill="1" applyBorder="1" applyAlignment="1" applyProtection="1">
      <alignment horizontal="center" vertical="center" wrapText="1"/>
      <protection locked="0" hidden="1"/>
    </xf>
    <xf numFmtId="0" fontId="14" fillId="10" borderId="51" xfId="0" applyFont="1" applyFill="1" applyBorder="1" applyAlignment="1" applyProtection="1">
      <alignment vertical="center"/>
      <protection hidden="1"/>
    </xf>
    <xf numFmtId="0" fontId="5" fillId="2" borderId="52" xfId="4" applyFont="1" applyFill="1" applyBorder="1" applyAlignment="1" applyProtection="1">
      <alignment horizontal="center" vertical="center" wrapText="1"/>
      <protection locked="0"/>
    </xf>
    <xf numFmtId="0" fontId="5" fillId="2" borderId="25" xfId="4" applyFont="1" applyFill="1" applyBorder="1" applyAlignment="1" applyProtection="1">
      <alignment horizontal="center" vertical="center" wrapText="1"/>
      <protection locked="0"/>
    </xf>
    <xf numFmtId="0" fontId="49" fillId="2" borderId="33" xfId="0" applyFont="1" applyFill="1" applyBorder="1" applyAlignment="1" applyProtection="1">
      <alignment horizontal="center" vertical="center" wrapText="1"/>
      <protection locked="0" hidden="1"/>
    </xf>
    <xf numFmtId="0" fontId="5" fillId="0" borderId="56" xfId="0" applyFont="1" applyBorder="1" applyAlignment="1" applyProtection="1">
      <alignment horizontal="center" vertical="center" wrapText="1"/>
      <protection locked="0"/>
    </xf>
    <xf numFmtId="0" fontId="5" fillId="0" borderId="31" xfId="0" applyFont="1" applyBorder="1" applyAlignment="1" applyProtection="1">
      <alignment horizontal="center" vertical="center" wrapText="1"/>
      <protection locked="0"/>
    </xf>
    <xf numFmtId="0" fontId="5" fillId="0" borderId="30" xfId="0" applyFont="1" applyBorder="1" applyAlignment="1" applyProtection="1">
      <alignment horizontal="center" vertical="center" wrapText="1"/>
      <protection locked="0"/>
    </xf>
    <xf numFmtId="0" fontId="5" fillId="2" borderId="30" xfId="0" applyFont="1" applyFill="1" applyBorder="1" applyAlignment="1" applyProtection="1">
      <alignment horizontal="center" vertical="center" wrapText="1"/>
      <protection locked="0"/>
    </xf>
    <xf numFmtId="3" fontId="5" fillId="2" borderId="31" xfId="0" applyNumberFormat="1" applyFont="1" applyFill="1" applyBorder="1" applyAlignment="1" applyProtection="1">
      <alignment horizontal="center" vertical="center" wrapText="1"/>
      <protection locked="0"/>
    </xf>
    <xf numFmtId="0" fontId="5" fillId="2" borderId="31" xfId="0" applyFont="1" applyFill="1" applyBorder="1" applyAlignment="1" applyProtection="1">
      <alignment horizontal="center" vertical="center" wrapText="1"/>
      <protection locked="0"/>
    </xf>
    <xf numFmtId="0" fontId="5" fillId="2" borderId="28" xfId="0" applyFont="1" applyFill="1" applyBorder="1" applyAlignment="1" applyProtection="1">
      <alignment horizontal="center" vertical="center" wrapText="1"/>
      <protection locked="0"/>
    </xf>
    <xf numFmtId="0" fontId="6" fillId="9" borderId="15" xfId="0" applyFont="1" applyFill="1" applyBorder="1" applyAlignment="1" applyProtection="1">
      <alignment horizontal="center" vertical="center" wrapText="1"/>
      <protection hidden="1"/>
    </xf>
    <xf numFmtId="0" fontId="6" fillId="10" borderId="15" xfId="0" applyFont="1" applyFill="1" applyBorder="1" applyAlignment="1" applyProtection="1">
      <alignment horizontal="center" vertical="center" wrapText="1"/>
      <protection hidden="1"/>
    </xf>
    <xf numFmtId="0" fontId="6" fillId="10" borderId="33" xfId="0" applyFont="1" applyFill="1" applyBorder="1" applyAlignment="1" applyProtection="1">
      <alignment horizontal="center" vertical="center" wrapText="1"/>
      <protection hidden="1"/>
    </xf>
    <xf numFmtId="2" fontId="5" fillId="7" borderId="52" xfId="0" applyNumberFormat="1" applyFont="1" applyFill="1" applyBorder="1" applyAlignment="1" applyProtection="1">
      <alignment horizontal="center" vertical="center" wrapText="1"/>
      <protection hidden="1"/>
    </xf>
    <xf numFmtId="2" fontId="5" fillId="7" borderId="25" xfId="0" applyNumberFormat="1" applyFont="1" applyFill="1" applyBorder="1" applyAlignment="1" applyProtection="1">
      <alignment horizontal="center" vertical="center" wrapText="1"/>
      <protection hidden="1"/>
    </xf>
    <xf numFmtId="2" fontId="5" fillId="7" borderId="33" xfId="0" applyNumberFormat="1" applyFont="1" applyFill="1" applyBorder="1" applyAlignment="1" applyProtection="1">
      <alignment horizontal="center" vertical="center" wrapText="1"/>
      <protection hidden="1"/>
    </xf>
    <xf numFmtId="2" fontId="5" fillId="7" borderId="13" xfId="0" applyNumberFormat="1" applyFont="1" applyFill="1" applyBorder="1" applyAlignment="1" applyProtection="1">
      <alignment horizontal="center" vertical="center" wrapText="1"/>
      <protection hidden="1"/>
    </xf>
    <xf numFmtId="0" fontId="5" fillId="2" borderId="51" xfId="4" applyFont="1" applyFill="1" applyBorder="1" applyAlignment="1" applyProtection="1">
      <alignment horizontal="center" vertical="center" wrapText="1"/>
      <protection locked="0"/>
    </xf>
    <xf numFmtId="0" fontId="5" fillId="2" borderId="29" xfId="4" applyFont="1" applyFill="1" applyBorder="1" applyAlignment="1" applyProtection="1">
      <alignment horizontal="center" vertical="center" wrapText="1"/>
      <protection locked="0"/>
    </xf>
    <xf numFmtId="0" fontId="5" fillId="2" borderId="29" xfId="0" applyFont="1" applyFill="1" applyBorder="1" applyAlignment="1" applyProtection="1">
      <alignment horizontal="center" vertical="center" wrapText="1"/>
      <protection locked="0"/>
    </xf>
    <xf numFmtId="3" fontId="49" fillId="0" borderId="14" xfId="0" applyNumberFormat="1" applyFont="1" applyBorder="1" applyAlignment="1" applyProtection="1">
      <alignment horizontal="center" vertical="center" wrapText="1"/>
      <protection locked="0"/>
    </xf>
    <xf numFmtId="2" fontId="5" fillId="2" borderId="14" xfId="0" applyNumberFormat="1" applyFont="1" applyFill="1" applyBorder="1" applyAlignment="1" applyProtection="1">
      <alignment horizontal="center" vertical="center" wrapText="1"/>
      <protection locked="0"/>
    </xf>
    <xf numFmtId="0" fontId="49" fillId="2" borderId="9" xfId="0" applyFont="1" applyFill="1" applyBorder="1" applyAlignment="1" applyProtection="1">
      <alignment horizontal="center" vertical="center" wrapText="1"/>
      <protection locked="0"/>
    </xf>
    <xf numFmtId="0" fontId="5" fillId="2" borderId="31" xfId="0" applyFont="1" applyFill="1" applyBorder="1" applyAlignment="1" applyProtection="1">
      <alignment horizontal="center" vertical="center" wrapText="1"/>
      <protection locked="0" hidden="1"/>
    </xf>
    <xf numFmtId="0" fontId="5" fillId="2" borderId="72" xfId="0" applyFont="1" applyFill="1" applyBorder="1" applyAlignment="1" applyProtection="1">
      <alignment horizontal="center" vertical="center" wrapText="1"/>
      <protection locked="0" hidden="1"/>
    </xf>
    <xf numFmtId="0" fontId="5" fillId="2" borderId="15" xfId="0" applyFont="1" applyFill="1" applyBorder="1" applyAlignment="1" applyProtection="1">
      <alignment horizontal="center" vertical="center" wrapText="1"/>
      <protection locked="0" hidden="1"/>
    </xf>
    <xf numFmtId="2" fontId="5" fillId="7" borderId="51" xfId="0" applyNumberFormat="1" applyFont="1" applyFill="1" applyBorder="1" applyAlignment="1" applyProtection="1">
      <alignment horizontal="center" vertical="center" wrapText="1"/>
      <protection hidden="1"/>
    </xf>
    <xf numFmtId="2" fontId="5" fillId="7" borderId="29" xfId="0" applyNumberFormat="1" applyFont="1" applyFill="1" applyBorder="1" applyAlignment="1" applyProtection="1">
      <alignment horizontal="center" vertical="center" wrapText="1"/>
      <protection hidden="1"/>
    </xf>
    <xf numFmtId="2" fontId="5" fillId="7" borderId="105" xfId="0" applyNumberFormat="1" applyFont="1" applyFill="1" applyBorder="1" applyAlignment="1" applyProtection="1">
      <alignment horizontal="center" vertical="center" wrapText="1"/>
      <protection hidden="1"/>
    </xf>
    <xf numFmtId="2" fontId="5" fillId="7" borderId="9" xfId="0" applyNumberFormat="1" applyFont="1" applyFill="1" applyBorder="1" applyAlignment="1" applyProtection="1">
      <alignment horizontal="center" vertical="center" wrapText="1"/>
      <protection hidden="1"/>
    </xf>
    <xf numFmtId="2" fontId="5" fillId="7" borderId="15" xfId="0" applyNumberFormat="1" applyFont="1" applyFill="1" applyBorder="1" applyAlignment="1" applyProtection="1">
      <alignment horizontal="center" vertical="center" wrapText="1"/>
      <protection hidden="1"/>
    </xf>
    <xf numFmtId="0" fontId="6" fillId="26" borderId="12" xfId="0" applyFont="1" applyFill="1" applyBorder="1" applyAlignment="1" applyProtection="1">
      <alignment horizontal="center" vertical="center" wrapText="1"/>
      <protection hidden="1"/>
    </xf>
    <xf numFmtId="0" fontId="6" fillId="26" borderId="15" xfId="0" applyFont="1" applyFill="1" applyBorder="1" applyAlignment="1" applyProtection="1">
      <alignment horizontal="center" vertical="center" wrapText="1"/>
      <protection hidden="1"/>
    </xf>
    <xf numFmtId="165" fontId="49" fillId="2" borderId="8" xfId="0" applyNumberFormat="1" applyFont="1" applyFill="1" applyBorder="1" applyAlignment="1" applyProtection="1">
      <alignment horizontal="center" vertical="center" wrapText="1"/>
      <protection locked="0"/>
    </xf>
    <xf numFmtId="165" fontId="49" fillId="2" borderId="14" xfId="0" applyNumberFormat="1" applyFont="1" applyFill="1" applyBorder="1" applyAlignment="1" applyProtection="1">
      <alignment horizontal="center" vertical="center" wrapText="1"/>
      <protection locked="0"/>
    </xf>
    <xf numFmtId="165" fontId="49" fillId="2" borderId="10" xfId="0" applyNumberFormat="1" applyFont="1" applyFill="1" applyBorder="1" applyAlignment="1" applyProtection="1">
      <alignment horizontal="center" vertical="center" wrapText="1"/>
      <protection locked="0"/>
    </xf>
    <xf numFmtId="165" fontId="49" fillId="2" borderId="4" xfId="0" applyNumberFormat="1" applyFont="1" applyFill="1" applyBorder="1" applyAlignment="1" applyProtection="1">
      <alignment horizontal="center" vertical="center" wrapText="1"/>
      <protection locked="0"/>
    </xf>
    <xf numFmtId="165" fontId="49" fillId="2" borderId="12" xfId="0" applyNumberFormat="1" applyFont="1" applyFill="1" applyBorder="1" applyAlignment="1" applyProtection="1">
      <alignment horizontal="center" vertical="center" wrapText="1"/>
      <protection locked="0"/>
    </xf>
    <xf numFmtId="165" fontId="49" fillId="2" borderId="15" xfId="0" applyNumberFormat="1" applyFont="1" applyFill="1" applyBorder="1" applyAlignment="1" applyProtection="1">
      <alignment horizontal="center" vertical="center" wrapText="1"/>
      <protection locked="0"/>
    </xf>
    <xf numFmtId="2" fontId="49" fillId="2" borderId="9" xfId="0" applyNumberFormat="1" applyFont="1" applyFill="1" applyBorder="1" applyAlignment="1" applyProtection="1">
      <alignment horizontal="center" vertical="center" wrapText="1"/>
      <protection locked="0"/>
    </xf>
    <xf numFmtId="2" fontId="49" fillId="2" borderId="11" xfId="0" applyNumberFormat="1" applyFont="1" applyFill="1" applyBorder="1" applyAlignment="1" applyProtection="1">
      <alignment horizontal="center" vertical="center" wrapText="1"/>
      <protection locked="0"/>
    </xf>
    <xf numFmtId="2" fontId="49" fillId="2" borderId="13" xfId="0" applyNumberFormat="1" applyFont="1" applyFill="1" applyBorder="1" applyAlignment="1" applyProtection="1">
      <alignment horizontal="center" vertical="center" wrapText="1"/>
      <protection locked="0"/>
    </xf>
    <xf numFmtId="3" fontId="11" fillId="7" borderId="14" xfId="0" applyNumberFormat="1" applyFont="1" applyFill="1" applyBorder="1" applyAlignment="1" applyProtection="1">
      <alignment horizontal="center" vertical="center" wrapText="1"/>
      <protection hidden="1"/>
    </xf>
    <xf numFmtId="44" fontId="11" fillId="7" borderId="14" xfId="8" applyFont="1" applyFill="1" applyBorder="1" applyAlignment="1" applyProtection="1">
      <alignment vertical="center"/>
      <protection hidden="1"/>
    </xf>
    <xf numFmtId="2" fontId="5" fillId="7" borderId="99" xfId="0" applyNumberFormat="1" applyFont="1" applyFill="1" applyBorder="1" applyAlignment="1" applyProtection="1">
      <alignment horizontal="center" vertical="center" wrapText="1"/>
      <protection hidden="1"/>
    </xf>
    <xf numFmtId="2" fontId="5" fillId="7" borderId="100" xfId="0" applyNumberFormat="1" applyFont="1" applyFill="1" applyBorder="1" applyAlignment="1" applyProtection="1">
      <alignment horizontal="center" vertical="center" wrapText="1"/>
      <protection hidden="1"/>
    </xf>
    <xf numFmtId="2" fontId="5" fillId="7" borderId="14" xfId="0" applyNumberFormat="1" applyFont="1" applyFill="1" applyBorder="1" applyAlignment="1" applyProtection="1">
      <alignment horizontal="center" vertical="center" wrapText="1"/>
      <protection hidden="1"/>
    </xf>
    <xf numFmtId="2" fontId="5" fillId="7" borderId="4" xfId="0" applyNumberFormat="1" applyFont="1" applyFill="1" applyBorder="1" applyAlignment="1" applyProtection="1">
      <alignment horizontal="center" vertical="center" wrapText="1"/>
      <protection hidden="1"/>
    </xf>
    <xf numFmtId="0" fontId="5" fillId="2" borderId="27" xfId="0" applyFont="1" applyFill="1" applyBorder="1" applyAlignment="1" applyProtection="1">
      <alignment horizontal="center" vertical="center" wrapText="1"/>
      <protection locked="0" hidden="1"/>
    </xf>
    <xf numFmtId="0" fontId="5" fillId="2" borderId="33" xfId="0" applyFont="1" applyFill="1" applyBorder="1" applyAlignment="1" applyProtection="1">
      <alignment horizontal="center" vertical="center" wrapText="1"/>
      <protection locked="0" hidden="1"/>
    </xf>
    <xf numFmtId="0" fontId="77" fillId="2" borderId="4" xfId="0" applyFont="1" applyFill="1" applyBorder="1"/>
    <xf numFmtId="167" fontId="78" fillId="2" borderId="4" xfId="0" applyNumberFormat="1" applyFont="1" applyFill="1" applyBorder="1" applyAlignment="1" applyProtection="1">
      <alignment vertical="center"/>
      <protection locked="0"/>
    </xf>
    <xf numFmtId="9" fontId="77" fillId="2" borderId="4" xfId="9" applyFont="1" applyFill="1" applyBorder="1" applyAlignment="1" applyProtection="1">
      <alignment vertical="center"/>
      <protection locked="0"/>
    </xf>
    <xf numFmtId="167" fontId="78" fillId="2" borderId="27" xfId="0" applyNumberFormat="1" applyFont="1" applyFill="1" applyBorder="1" applyAlignment="1" applyProtection="1">
      <alignment vertical="center"/>
      <protection locked="0"/>
    </xf>
    <xf numFmtId="167" fontId="78" fillId="2" borderId="10" xfId="0" applyNumberFormat="1" applyFont="1" applyFill="1" applyBorder="1" applyAlignment="1" applyProtection="1">
      <alignment vertical="center"/>
      <protection locked="0"/>
    </xf>
    <xf numFmtId="9" fontId="78" fillId="2" borderId="4" xfId="9" applyFont="1" applyFill="1" applyBorder="1" applyAlignment="1" applyProtection="1">
      <alignment vertical="center"/>
      <protection locked="0"/>
    </xf>
    <xf numFmtId="9" fontId="78" fillId="2" borderId="27" xfId="9" applyFont="1" applyFill="1" applyBorder="1" applyAlignment="1" applyProtection="1">
      <alignment vertical="center"/>
      <protection locked="0"/>
    </xf>
    <xf numFmtId="0" fontId="77" fillId="2" borderId="10" xfId="0" applyFont="1" applyFill="1" applyBorder="1"/>
    <xf numFmtId="0" fontId="77" fillId="2" borderId="27" xfId="0" applyFont="1" applyFill="1" applyBorder="1"/>
    <xf numFmtId="44" fontId="77" fillId="2" borderId="10" xfId="8" applyFont="1" applyFill="1" applyBorder="1"/>
    <xf numFmtId="44" fontId="77" fillId="2" borderId="4" xfId="8" applyFont="1" applyFill="1" applyBorder="1"/>
    <xf numFmtId="0" fontId="77" fillId="2" borderId="0" xfId="0" applyFont="1" applyFill="1"/>
    <xf numFmtId="0" fontId="24" fillId="0" borderId="0" xfId="0" applyFont="1" applyAlignment="1" applyProtection="1">
      <alignment horizontal="right" vertical="center"/>
      <protection hidden="1"/>
    </xf>
    <xf numFmtId="0" fontId="12" fillId="0" borderId="71" xfId="0" applyFont="1" applyBorder="1" applyAlignment="1" applyProtection="1">
      <alignment horizontal="center" vertical="center" wrapText="1"/>
      <protection hidden="1"/>
    </xf>
    <xf numFmtId="0" fontId="11" fillId="0" borderId="71" xfId="0" applyFont="1" applyBorder="1" applyAlignment="1" applyProtection="1">
      <alignment horizontal="center" vertical="center" wrapText="1"/>
      <protection hidden="1"/>
    </xf>
    <xf numFmtId="0" fontId="20" fillId="12" borderId="4" xfId="0" applyFont="1" applyFill="1" applyBorder="1" applyAlignment="1" applyProtection="1">
      <alignment horizontal="left" vertical="center"/>
      <protection locked="0"/>
    </xf>
    <xf numFmtId="0" fontId="6" fillId="0" borderId="106" xfId="0" applyFont="1" applyBorder="1" applyAlignment="1" applyProtection="1">
      <alignment horizontal="center" vertical="center" wrapText="1"/>
      <protection hidden="1"/>
    </xf>
    <xf numFmtId="39" fontId="5" fillId="0" borderId="106" xfId="0" applyNumberFormat="1" applyFont="1" applyBorder="1" applyAlignment="1" applyProtection="1">
      <alignment horizontal="center" vertical="center" wrapText="1"/>
      <protection hidden="1"/>
    </xf>
    <xf numFmtId="0" fontId="11" fillId="0" borderId="106" xfId="0" applyFont="1" applyBorder="1" applyAlignment="1" applyProtection="1">
      <alignment vertical="center"/>
      <protection hidden="1"/>
    </xf>
    <xf numFmtId="39" fontId="5" fillId="7" borderId="8" xfId="0" applyNumberFormat="1" applyFont="1" applyFill="1" applyBorder="1" applyAlignment="1" applyProtection="1">
      <alignment horizontal="center" vertical="center" wrapText="1"/>
      <protection hidden="1"/>
    </xf>
    <xf numFmtId="39" fontId="5" fillId="7" borderId="10" xfId="0" applyNumberFormat="1" applyFont="1" applyFill="1" applyBorder="1" applyAlignment="1" applyProtection="1">
      <alignment horizontal="center" vertical="center" wrapText="1"/>
      <protection hidden="1"/>
    </xf>
    <xf numFmtId="39" fontId="5" fillId="7" borderId="12" xfId="0" applyNumberFormat="1" applyFont="1" applyFill="1" applyBorder="1" applyAlignment="1" applyProtection="1">
      <alignment horizontal="center" vertical="center" wrapText="1"/>
      <protection hidden="1"/>
    </xf>
    <xf numFmtId="0" fontId="6" fillId="20" borderId="94" xfId="0" applyFont="1" applyFill="1" applyBorder="1" applyAlignment="1" applyProtection="1">
      <alignment horizontal="center" vertical="center" wrapText="1"/>
      <protection hidden="1"/>
    </xf>
    <xf numFmtId="0" fontId="6" fillId="20" borderId="95" xfId="0" applyFont="1" applyFill="1" applyBorder="1" applyAlignment="1" applyProtection="1">
      <alignment horizontal="center" vertical="center" wrapText="1"/>
      <protection hidden="1"/>
    </xf>
    <xf numFmtId="0" fontId="6" fillId="20" borderId="102" xfId="0" applyFont="1" applyFill="1" applyBorder="1" applyAlignment="1" applyProtection="1">
      <alignment horizontal="center" vertical="center" wrapText="1"/>
      <protection hidden="1"/>
    </xf>
    <xf numFmtId="0" fontId="12" fillId="11" borderId="14" xfId="0" applyFont="1" applyFill="1" applyBorder="1" applyAlignment="1" applyProtection="1">
      <alignment horizontal="center" vertical="center"/>
      <protection hidden="1"/>
    </xf>
    <xf numFmtId="0" fontId="12" fillId="10" borderId="14" xfId="0" applyFont="1" applyFill="1" applyBorder="1" applyAlignment="1" applyProtection="1">
      <alignment horizontal="center" vertical="center" wrapText="1"/>
      <protection hidden="1"/>
    </xf>
    <xf numFmtId="0" fontId="12" fillId="10" borderId="9" xfId="0" applyFont="1" applyFill="1" applyBorder="1" applyAlignment="1" applyProtection="1">
      <alignment horizontal="center" vertical="center" wrapText="1"/>
      <protection hidden="1"/>
    </xf>
    <xf numFmtId="3" fontId="11" fillId="7" borderId="15" xfId="0" applyNumberFormat="1" applyFont="1" applyFill="1" applyBorder="1" applyAlignment="1" applyProtection="1">
      <alignment horizontal="center" vertical="center"/>
      <protection hidden="1"/>
    </xf>
    <xf numFmtId="44" fontId="11" fillId="7" borderId="13" xfId="8" applyFont="1" applyFill="1" applyBorder="1" applyAlignment="1" applyProtection="1">
      <alignment vertical="center"/>
      <protection hidden="1"/>
    </xf>
    <xf numFmtId="3" fontId="5" fillId="7" borderId="14" xfId="0" applyNumberFormat="1" applyFont="1" applyFill="1" applyBorder="1" applyAlignment="1" applyProtection="1">
      <alignment horizontal="center" vertical="center" wrapText="1"/>
      <protection hidden="1"/>
    </xf>
    <xf numFmtId="3" fontId="5" fillId="7" borderId="9" xfId="0" applyNumberFormat="1" applyFont="1" applyFill="1" applyBorder="1" applyAlignment="1" applyProtection="1">
      <alignment horizontal="center" vertical="center" wrapText="1"/>
      <protection hidden="1"/>
    </xf>
    <xf numFmtId="3" fontId="5" fillId="7" borderId="4" xfId="0" applyNumberFormat="1" applyFont="1" applyFill="1" applyBorder="1" applyAlignment="1" applyProtection="1">
      <alignment horizontal="center" vertical="center" wrapText="1"/>
      <protection hidden="1"/>
    </xf>
    <xf numFmtId="3" fontId="5" fillId="7" borderId="11" xfId="0" applyNumberFormat="1" applyFont="1" applyFill="1" applyBorder="1" applyAlignment="1" applyProtection="1">
      <alignment horizontal="center" vertical="center" wrapText="1"/>
      <protection hidden="1"/>
    </xf>
    <xf numFmtId="3" fontId="5" fillId="7" borderId="15" xfId="0" applyNumberFormat="1" applyFont="1" applyFill="1" applyBorder="1" applyAlignment="1" applyProtection="1">
      <alignment horizontal="center" vertical="center" wrapText="1"/>
      <protection hidden="1"/>
    </xf>
    <xf numFmtId="3" fontId="5" fillId="7" borderId="13" xfId="0" applyNumberFormat="1" applyFont="1" applyFill="1" applyBorder="1" applyAlignment="1" applyProtection="1">
      <alignment horizontal="center" vertical="center" wrapText="1"/>
      <protection hidden="1"/>
    </xf>
    <xf numFmtId="0" fontId="79" fillId="7" borderId="0" xfId="0" applyFont="1" applyFill="1" applyAlignment="1" applyProtection="1">
      <alignment horizontal="right" vertical="center"/>
      <protection hidden="1"/>
    </xf>
    <xf numFmtId="0" fontId="55" fillId="7" borderId="0" xfId="0" applyFont="1" applyFill="1" applyAlignment="1" applyProtection="1">
      <alignment vertical="center"/>
      <protection hidden="1"/>
    </xf>
    <xf numFmtId="0" fontId="80" fillId="7" borderId="0" xfId="0" applyFont="1" applyFill="1" applyAlignment="1" applyProtection="1">
      <alignment vertical="center"/>
      <protection hidden="1"/>
    </xf>
    <xf numFmtId="0" fontId="81" fillId="2" borderId="4" xfId="0" applyFont="1" applyFill="1" applyBorder="1"/>
    <xf numFmtId="167" fontId="82" fillId="2" borderId="4" xfId="0" applyNumberFormat="1" applyFont="1" applyFill="1" applyBorder="1" applyAlignment="1" applyProtection="1">
      <alignment vertical="center"/>
      <protection locked="0"/>
    </xf>
    <xf numFmtId="9" fontId="81" fillId="2" borderId="4" xfId="9" applyFont="1" applyFill="1" applyBorder="1" applyAlignment="1" applyProtection="1">
      <alignment vertical="center"/>
      <protection locked="0"/>
    </xf>
    <xf numFmtId="167" fontId="82" fillId="2" borderId="27" xfId="0" applyNumberFormat="1" applyFont="1" applyFill="1" applyBorder="1" applyAlignment="1" applyProtection="1">
      <alignment vertical="center"/>
      <protection locked="0"/>
    </xf>
    <xf numFmtId="167" fontId="82" fillId="2" borderId="10" xfId="0" applyNumberFormat="1" applyFont="1" applyFill="1" applyBorder="1" applyAlignment="1" applyProtection="1">
      <alignment vertical="center"/>
      <protection locked="0"/>
    </xf>
    <xf numFmtId="9" fontId="82" fillId="2" borderId="4" xfId="9" applyFont="1" applyFill="1" applyBorder="1" applyAlignment="1" applyProtection="1">
      <alignment vertical="center"/>
      <protection locked="0"/>
    </xf>
    <xf numFmtId="9" fontId="82" fillId="2" borderId="27" xfId="9" applyFont="1" applyFill="1" applyBorder="1" applyAlignment="1" applyProtection="1">
      <alignment vertical="center"/>
      <protection locked="0"/>
    </xf>
    <xf numFmtId="0" fontId="81" fillId="2" borderId="10" xfId="0" applyFont="1" applyFill="1" applyBorder="1"/>
    <xf numFmtId="0" fontId="81" fillId="2" borderId="27" xfId="0" applyFont="1" applyFill="1" applyBorder="1"/>
    <xf numFmtId="44" fontId="81" fillId="2" borderId="10" xfId="8" applyFont="1" applyFill="1" applyBorder="1"/>
    <xf numFmtId="44" fontId="81" fillId="2" borderId="4" xfId="8" applyFont="1" applyFill="1" applyBorder="1"/>
    <xf numFmtId="185" fontId="5" fillId="0" borderId="106" xfId="0" applyNumberFormat="1" applyFont="1" applyBorder="1" applyAlignment="1" applyProtection="1">
      <alignment horizontal="center" vertical="center" wrapText="1"/>
      <protection hidden="1"/>
    </xf>
    <xf numFmtId="185" fontId="5" fillId="0" borderId="0" xfId="0" applyNumberFormat="1" applyFont="1" applyAlignment="1" applyProtection="1">
      <alignment horizontal="center" vertical="center" wrapText="1"/>
      <protection hidden="1"/>
    </xf>
    <xf numFmtId="185" fontId="5" fillId="0" borderId="70" xfId="0" applyNumberFormat="1" applyFont="1" applyBorder="1" applyAlignment="1" applyProtection="1">
      <alignment horizontal="center" vertical="center" wrapText="1"/>
      <protection hidden="1"/>
    </xf>
    <xf numFmtId="44" fontId="11" fillId="7" borderId="45" xfId="8" applyFont="1" applyFill="1" applyBorder="1" applyAlignment="1" applyProtection="1">
      <alignment vertical="center"/>
      <protection hidden="1"/>
    </xf>
    <xf numFmtId="44" fontId="11" fillId="7" borderId="6" xfId="8" applyFont="1" applyFill="1" applyBorder="1" applyAlignment="1" applyProtection="1">
      <alignment vertical="center"/>
      <protection hidden="1"/>
    </xf>
    <xf numFmtId="44" fontId="11" fillId="7" borderId="73" xfId="8" applyFont="1" applyFill="1" applyBorder="1" applyAlignment="1" applyProtection="1">
      <alignment vertical="center"/>
      <protection hidden="1"/>
    </xf>
    <xf numFmtId="44" fontId="11" fillId="7" borderId="28" xfId="8" applyFont="1" applyFill="1" applyBorder="1" applyAlignment="1" applyProtection="1">
      <alignment vertical="center"/>
      <protection hidden="1"/>
    </xf>
    <xf numFmtId="0" fontId="12" fillId="10" borderId="29" xfId="0" applyFont="1" applyFill="1" applyBorder="1" applyAlignment="1" applyProtection="1">
      <alignment horizontal="center" vertical="center" wrapText="1"/>
      <protection hidden="1"/>
    </xf>
    <xf numFmtId="44" fontId="11" fillId="7" borderId="33" xfId="8" applyFont="1" applyFill="1" applyBorder="1" applyAlignment="1" applyProtection="1">
      <alignment vertical="center"/>
      <protection hidden="1"/>
    </xf>
    <xf numFmtId="44" fontId="11" fillId="7" borderId="9" xfId="8" applyFont="1" applyFill="1" applyBorder="1" applyAlignment="1" applyProtection="1">
      <alignment vertical="center"/>
      <protection hidden="1"/>
    </xf>
    <xf numFmtId="44" fontId="11" fillId="7" borderId="102" xfId="8" applyFont="1" applyFill="1" applyBorder="1" applyAlignment="1" applyProtection="1">
      <alignment vertical="center"/>
      <protection hidden="1"/>
    </xf>
    <xf numFmtId="0" fontId="84" fillId="4" borderId="0" xfId="0" applyFont="1" applyFill="1" applyAlignment="1" applyProtection="1">
      <alignment horizontal="center" vertical="top" wrapText="1"/>
      <protection hidden="1"/>
    </xf>
    <xf numFmtId="0" fontId="83" fillId="4" borderId="0" xfId="0" applyFont="1" applyFill="1" applyAlignment="1" applyProtection="1">
      <alignment vertical="top" wrapText="1"/>
      <protection hidden="1"/>
    </xf>
    <xf numFmtId="0" fontId="0" fillId="4" borderId="0" xfId="0" applyFill="1" applyProtection="1">
      <protection hidden="1"/>
    </xf>
    <xf numFmtId="0" fontId="85" fillId="4" borderId="0" xfId="0" applyFont="1" applyFill="1" applyAlignment="1" applyProtection="1">
      <alignment vertical="center"/>
      <protection hidden="1"/>
    </xf>
    <xf numFmtId="0" fontId="55" fillId="4" borderId="0" xfId="0" applyFont="1" applyFill="1" applyAlignment="1" applyProtection="1">
      <alignment horizontal="center"/>
      <protection hidden="1"/>
    </xf>
    <xf numFmtId="0" fontId="86" fillId="4" borderId="0" xfId="0" applyFont="1" applyFill="1" applyAlignment="1" applyProtection="1">
      <alignment vertical="center"/>
      <protection hidden="1"/>
    </xf>
    <xf numFmtId="0" fontId="0" fillId="4" borderId="0" xfId="0" quotePrefix="1" applyFill="1" applyAlignment="1" applyProtection="1">
      <alignment horizontal="right" wrapText="1"/>
      <protection hidden="1"/>
    </xf>
    <xf numFmtId="0" fontId="0" fillId="4" borderId="0" xfId="0" applyFill="1" applyAlignment="1" applyProtection="1">
      <alignment vertical="top"/>
      <protection hidden="1"/>
    </xf>
    <xf numFmtId="0" fontId="53" fillId="4" borderId="0" xfId="0" applyFont="1" applyFill="1" applyAlignment="1" applyProtection="1">
      <alignment horizontal="left" wrapText="1" indent="3"/>
      <protection hidden="1"/>
    </xf>
    <xf numFmtId="0" fontId="53" fillId="4" borderId="0" xfId="0" applyFont="1" applyFill="1" applyAlignment="1" applyProtection="1">
      <alignment horizontal="right"/>
      <protection hidden="1"/>
    </xf>
    <xf numFmtId="0" fontId="0" fillId="2" borderId="4" xfId="0" applyFill="1" applyBorder="1" applyAlignment="1" applyProtection="1">
      <alignment horizontal="left" vertical="center" wrapText="1"/>
      <protection locked="0"/>
    </xf>
    <xf numFmtId="0" fontId="0" fillId="4" borderId="0" xfId="0" applyFill="1" applyAlignment="1" applyProtection="1">
      <alignment horizontal="right" vertical="top"/>
      <protection hidden="1"/>
    </xf>
    <xf numFmtId="0" fontId="0" fillId="4" borderId="0" xfId="0" applyFill="1" applyAlignment="1" applyProtection="1">
      <alignment horizontal="left" vertical="top" wrapText="1"/>
      <protection hidden="1"/>
    </xf>
    <xf numFmtId="0" fontId="0" fillId="4" borderId="0" xfId="0" quotePrefix="1" applyFill="1" applyAlignment="1" applyProtection="1">
      <alignment horizontal="right"/>
      <protection hidden="1"/>
    </xf>
    <xf numFmtId="0" fontId="0" fillId="4" borderId="0" xfId="0" applyFill="1" applyAlignment="1" applyProtection="1">
      <alignment wrapText="1"/>
      <protection hidden="1"/>
    </xf>
    <xf numFmtId="0" fontId="0" fillId="4" borderId="0" xfId="0" quotePrefix="1" applyFill="1" applyAlignment="1" applyProtection="1">
      <alignment horizontal="left"/>
      <protection hidden="1"/>
    </xf>
    <xf numFmtId="0" fontId="72" fillId="4" borderId="0" xfId="0" quotePrefix="1" applyFont="1" applyFill="1" applyAlignment="1" applyProtection="1">
      <alignment horizontal="left"/>
      <protection hidden="1"/>
    </xf>
    <xf numFmtId="0" fontId="0" fillId="4" borderId="0" xfId="0" applyFill="1" applyAlignment="1" applyProtection="1">
      <alignment horizontal="right"/>
      <protection hidden="1"/>
    </xf>
    <xf numFmtId="0" fontId="0" fillId="2" borderId="4" xfId="0" applyFill="1" applyBorder="1" applyAlignment="1" applyProtection="1">
      <alignment vertical="center"/>
      <protection locked="0"/>
    </xf>
    <xf numFmtId="0" fontId="0" fillId="28" borderId="4" xfId="0" applyFill="1" applyBorder="1" applyAlignment="1">
      <alignment horizontal="center" vertical="center" wrapText="1"/>
    </xf>
    <xf numFmtId="3" fontId="0" fillId="0" borderId="0" xfId="0" applyNumberFormat="1"/>
    <xf numFmtId="39" fontId="0" fillId="0" borderId="0" xfId="0" applyNumberFormat="1"/>
    <xf numFmtId="1" fontId="0" fillId="0" borderId="0" xfId="0" applyNumberFormat="1"/>
    <xf numFmtId="0" fontId="5" fillId="2" borderId="14" xfId="4" applyFont="1" applyFill="1" applyBorder="1" applyAlignment="1" applyProtection="1">
      <alignment horizontal="center" vertical="center" wrapText="1"/>
      <protection locked="0"/>
    </xf>
    <xf numFmtId="0" fontId="5" fillId="2" borderId="4" xfId="4" applyFont="1" applyFill="1" applyBorder="1" applyAlignment="1" applyProtection="1">
      <alignment horizontal="center" vertical="center" wrapText="1"/>
      <protection locked="0"/>
    </xf>
    <xf numFmtId="0" fontId="5" fillId="2" borderId="15" xfId="4" applyFont="1" applyFill="1" applyBorder="1" applyAlignment="1" applyProtection="1">
      <alignment horizontal="center" vertical="center" wrapText="1"/>
      <protection locked="0"/>
    </xf>
    <xf numFmtId="0" fontId="17" fillId="4" borderId="0" xfId="0" applyFont="1" applyFill="1"/>
    <xf numFmtId="0" fontId="0" fillId="29" borderId="4" xfId="0" applyFill="1" applyBorder="1"/>
    <xf numFmtId="0" fontId="0" fillId="30" borderId="4" xfId="0" applyFill="1" applyBorder="1"/>
    <xf numFmtId="0" fontId="11" fillId="29" borderId="0" xfId="0" applyFont="1" applyFill="1" applyAlignment="1" applyProtection="1">
      <alignment vertical="center"/>
      <protection hidden="1"/>
    </xf>
    <xf numFmtId="0" fontId="5" fillId="2" borderId="4" xfId="0" applyFont="1" applyFill="1" applyBorder="1" applyAlignment="1" applyProtection="1">
      <alignment horizontal="center" vertical="center" wrapText="1"/>
      <protection locked="0" hidden="1"/>
    </xf>
    <xf numFmtId="0" fontId="7" fillId="5" borderId="5" xfId="0" applyFont="1" applyFill="1" applyBorder="1" applyAlignment="1">
      <alignment horizontal="center" vertical="center" wrapText="1"/>
    </xf>
    <xf numFmtId="4" fontId="0" fillId="0" borderId="0" xfId="0" applyNumberFormat="1"/>
    <xf numFmtId="0" fontId="88" fillId="7" borderId="0" xfId="0" applyFont="1" applyFill="1" applyAlignment="1" applyProtection="1">
      <alignment vertical="top" wrapText="1"/>
      <protection hidden="1"/>
    </xf>
    <xf numFmtId="0" fontId="88" fillId="7" borderId="49" xfId="0" applyFont="1" applyFill="1" applyBorder="1" applyAlignment="1" applyProtection="1">
      <alignment vertical="top" wrapText="1"/>
      <protection hidden="1"/>
    </xf>
    <xf numFmtId="178" fontId="0" fillId="0" borderId="4" xfId="3" quotePrefix="1" applyNumberFormat="1" applyFont="1" applyBorder="1" applyAlignment="1">
      <alignment horizontal="center" vertical="center" wrapText="1"/>
    </xf>
    <xf numFmtId="178" fontId="0" fillId="0" borderId="4" xfId="3" applyNumberFormat="1" applyFont="1" applyBorder="1" applyAlignment="1">
      <alignment horizontal="center" vertical="center" wrapText="1"/>
    </xf>
    <xf numFmtId="186" fontId="0" fillId="3" borderId="10" xfId="0" applyNumberFormat="1" applyFill="1" applyBorder="1" applyAlignment="1">
      <alignment horizontal="center"/>
    </xf>
    <xf numFmtId="186" fontId="0" fillId="3" borderId="4" xfId="0" applyNumberFormat="1" applyFill="1" applyBorder="1" applyAlignment="1">
      <alignment horizontal="center"/>
    </xf>
    <xf numFmtId="186" fontId="0" fillId="3" borderId="11" xfId="0" applyNumberFormat="1" applyFill="1" applyBorder="1" applyAlignment="1">
      <alignment horizontal="center"/>
    </xf>
    <xf numFmtId="186" fontId="0" fillId="3" borderId="12" xfId="0" applyNumberFormat="1" applyFill="1" applyBorder="1" applyAlignment="1">
      <alignment horizontal="center"/>
    </xf>
    <xf numFmtId="186" fontId="0" fillId="3" borderId="15" xfId="0" applyNumberFormat="1" applyFill="1" applyBorder="1" applyAlignment="1">
      <alignment horizontal="center"/>
    </xf>
    <xf numFmtId="186" fontId="0" fillId="3" borderId="13" xfId="0" applyNumberFormat="1" applyFill="1" applyBorder="1" applyAlignment="1">
      <alignment horizontal="center"/>
    </xf>
    <xf numFmtId="165" fontId="0" fillId="3" borderId="10" xfId="0" applyNumberFormat="1" applyFill="1" applyBorder="1" applyAlignment="1">
      <alignment horizontal="center"/>
    </xf>
    <xf numFmtId="165" fontId="0" fillId="3" borderId="4" xfId="0" applyNumberFormat="1" applyFill="1" applyBorder="1" applyAlignment="1">
      <alignment horizontal="center"/>
    </xf>
    <xf numFmtId="165" fontId="0" fillId="3" borderId="11" xfId="0" applyNumberFormat="1" applyFill="1" applyBorder="1" applyAlignment="1">
      <alignment horizontal="center"/>
    </xf>
    <xf numFmtId="165" fontId="0" fillId="3" borderId="12" xfId="0" applyNumberFormat="1" applyFill="1" applyBorder="1" applyAlignment="1">
      <alignment horizontal="center"/>
    </xf>
    <xf numFmtId="165" fontId="0" fillId="3" borderId="15" xfId="0" applyNumberFormat="1" applyFill="1" applyBorder="1" applyAlignment="1">
      <alignment horizontal="center"/>
    </xf>
    <xf numFmtId="165" fontId="0" fillId="3" borderId="5" xfId="3" applyNumberFormat="1" applyFont="1" applyFill="1" applyBorder="1" applyAlignment="1">
      <alignment horizontal="center" vertical="center"/>
    </xf>
    <xf numFmtId="0" fontId="7" fillId="0" borderId="4" xfId="0" applyFont="1" applyBorder="1" applyAlignment="1">
      <alignment vertical="center"/>
    </xf>
    <xf numFmtId="43" fontId="7" fillId="0" borderId="4" xfId="0" applyNumberFormat="1" applyFont="1" applyBorder="1" applyAlignment="1">
      <alignment vertical="center"/>
    </xf>
    <xf numFmtId="41" fontId="7" fillId="0" borderId="4" xfId="0" applyNumberFormat="1" applyFont="1" applyBorder="1" applyAlignment="1">
      <alignment vertical="center"/>
    </xf>
    <xf numFmtId="0" fontId="89" fillId="31" borderId="0" xfId="91"/>
    <xf numFmtId="0" fontId="90" fillId="32" borderId="0" xfId="92"/>
    <xf numFmtId="187" fontId="0" fillId="0" borderId="4" xfId="3" applyNumberFormat="1" applyFont="1" applyBorder="1" applyAlignment="1">
      <alignment horizontal="center" vertical="center" wrapText="1"/>
    </xf>
    <xf numFmtId="177" fontId="0" fillId="2" borderId="10" xfId="0" applyNumberFormat="1" applyFill="1" applyBorder="1" applyAlignment="1">
      <alignment horizontal="center"/>
    </xf>
    <xf numFmtId="177" fontId="0" fillId="2" borderId="11" xfId="0" applyNumberFormat="1" applyFill="1" applyBorder="1" applyAlignment="1">
      <alignment horizontal="center"/>
    </xf>
    <xf numFmtId="0" fontId="0" fillId="2" borderId="27" xfId="0" applyFill="1" applyBorder="1" applyAlignment="1">
      <alignment horizontal="center" vertical="center"/>
    </xf>
    <xf numFmtId="0" fontId="0" fillId="2" borderId="41" xfId="0" applyFill="1" applyBorder="1" applyAlignment="1">
      <alignment horizontal="center" vertical="center"/>
    </xf>
    <xf numFmtId="0" fontId="0" fillId="2" borderId="27" xfId="0" applyFill="1" applyBorder="1" applyAlignment="1">
      <alignment horizontal="center" vertical="center" wrapText="1"/>
    </xf>
    <xf numFmtId="14" fontId="0" fillId="2" borderId="4" xfId="0" applyNumberFormat="1" applyFill="1" applyBorder="1" applyAlignment="1">
      <alignment horizontal="center" vertical="center"/>
    </xf>
    <xf numFmtId="0" fontId="17" fillId="2" borderId="31" xfId="0" applyFont="1" applyFill="1" applyBorder="1" applyAlignment="1">
      <alignment horizontal="center" vertical="center" wrapText="1"/>
    </xf>
    <xf numFmtId="4" fontId="11" fillId="7" borderId="0" xfId="0" applyNumberFormat="1" applyFont="1" applyFill="1" applyAlignment="1" applyProtection="1">
      <alignment vertical="center"/>
      <protection hidden="1"/>
    </xf>
    <xf numFmtId="4" fontId="12" fillId="11" borderId="8" xfId="0" applyNumberFormat="1" applyFont="1" applyFill="1" applyBorder="1" applyAlignment="1" applyProtection="1">
      <alignment horizontal="center" vertical="center"/>
      <protection hidden="1"/>
    </xf>
    <xf numFmtId="4" fontId="12" fillId="11" borderId="14" xfId="0" applyNumberFormat="1" applyFont="1" applyFill="1" applyBorder="1" applyAlignment="1" applyProtection="1">
      <alignment horizontal="center" vertical="center"/>
      <protection hidden="1"/>
    </xf>
    <xf numFmtId="4" fontId="11" fillId="7" borderId="12" xfId="0" applyNumberFormat="1" applyFont="1" applyFill="1" applyBorder="1" applyAlignment="1" applyProtection="1">
      <alignment horizontal="center" vertical="center"/>
      <protection hidden="1"/>
    </xf>
    <xf numFmtId="4" fontId="11" fillId="7" borderId="15" xfId="0" applyNumberFormat="1" applyFont="1" applyFill="1" applyBorder="1" applyAlignment="1" applyProtection="1">
      <alignment horizontal="center" vertical="center"/>
      <protection hidden="1"/>
    </xf>
    <xf numFmtId="4" fontId="11" fillId="7" borderId="14" xfId="0" applyNumberFormat="1" applyFont="1" applyFill="1" applyBorder="1" applyAlignment="1" applyProtection="1">
      <alignment horizontal="center" vertical="center" wrapText="1"/>
      <protection hidden="1"/>
    </xf>
    <xf numFmtId="4" fontId="11" fillId="0" borderId="0" xfId="0" applyNumberFormat="1" applyFont="1" applyAlignment="1" applyProtection="1">
      <alignment vertical="center"/>
      <protection hidden="1"/>
    </xf>
    <xf numFmtId="2" fontId="5" fillId="2" borderId="31" xfId="0" applyNumberFormat="1" applyFont="1" applyFill="1" applyBorder="1" applyAlignment="1" applyProtection="1">
      <alignment horizontal="center" vertical="center" wrapText="1"/>
      <protection locked="0"/>
    </xf>
    <xf numFmtId="2" fontId="5" fillId="2" borderId="27" xfId="0" applyNumberFormat="1" applyFont="1" applyFill="1" applyBorder="1" applyAlignment="1" applyProtection="1">
      <alignment horizontal="center" vertical="center" wrapText="1"/>
      <protection locked="0"/>
    </xf>
    <xf numFmtId="2" fontId="5" fillId="2" borderId="33" xfId="0" applyNumberFormat="1" applyFont="1" applyFill="1" applyBorder="1" applyAlignment="1" applyProtection="1">
      <alignment horizontal="center" vertical="center" wrapText="1"/>
      <protection locked="0"/>
    </xf>
    <xf numFmtId="4" fontId="11" fillId="7" borderId="4" xfId="0" applyNumberFormat="1" applyFont="1" applyFill="1" applyBorder="1" applyAlignment="1" applyProtection="1">
      <alignment horizontal="center" vertical="center" wrapText="1"/>
      <protection hidden="1"/>
    </xf>
    <xf numFmtId="4" fontId="11" fillId="7" borderId="8" xfId="0" applyNumberFormat="1" applyFont="1" applyFill="1" applyBorder="1" applyAlignment="1" applyProtection="1">
      <alignment horizontal="center" vertical="center" wrapText="1"/>
      <protection hidden="1"/>
    </xf>
    <xf numFmtId="4" fontId="11" fillId="7" borderId="10" xfId="0" applyNumberFormat="1" applyFont="1" applyFill="1" applyBorder="1" applyAlignment="1" applyProtection="1">
      <alignment horizontal="center" vertical="center" wrapText="1"/>
      <protection hidden="1"/>
    </xf>
    <xf numFmtId="4" fontId="11" fillId="7" borderId="12" xfId="0" applyNumberFormat="1" applyFont="1" applyFill="1" applyBorder="1" applyAlignment="1" applyProtection="1">
      <alignment horizontal="center" vertical="center" wrapText="1"/>
      <protection hidden="1"/>
    </xf>
    <xf numFmtId="4" fontId="11" fillId="7" borderId="15" xfId="0" applyNumberFormat="1" applyFont="1" applyFill="1" applyBorder="1" applyAlignment="1" applyProtection="1">
      <alignment horizontal="center" vertical="center" wrapText="1"/>
      <protection hidden="1"/>
    </xf>
    <xf numFmtId="0" fontId="92" fillId="2" borderId="0" xfId="0" applyFont="1" applyFill="1"/>
    <xf numFmtId="0" fontId="92" fillId="0" borderId="0" xfId="0" applyFont="1"/>
    <xf numFmtId="0" fontId="0" fillId="2" borderId="30" xfId="0" applyFill="1" applyBorder="1" applyAlignment="1">
      <alignment horizontal="left"/>
    </xf>
    <xf numFmtId="0" fontId="0" fillId="4" borderId="28" xfId="0" applyFill="1" applyBorder="1" applyAlignment="1">
      <alignment horizontal="center"/>
    </xf>
    <xf numFmtId="164" fontId="0" fillId="2" borderId="54" xfId="0" applyNumberFormat="1" applyFill="1" applyBorder="1" applyAlignment="1">
      <alignment horizontal="center" vertical="center"/>
    </xf>
    <xf numFmtId="0" fontId="0" fillId="2" borderId="28" xfId="0" applyFill="1" applyBorder="1" applyAlignment="1">
      <alignment horizontal="center"/>
    </xf>
    <xf numFmtId="2" fontId="0" fillId="3" borderId="24" xfId="0" applyNumberFormat="1" applyFill="1" applyBorder="1" applyAlignment="1">
      <alignment horizontal="center"/>
    </xf>
    <xf numFmtId="2" fontId="0" fillId="3" borderId="28" xfId="0" applyNumberFormat="1" applyFill="1" applyBorder="1" applyAlignment="1">
      <alignment horizontal="center"/>
    </xf>
    <xf numFmtId="164" fontId="0" fillId="2" borderId="24" xfId="0" applyNumberFormat="1" applyFill="1" applyBorder="1" applyAlignment="1">
      <alignment horizontal="center"/>
    </xf>
    <xf numFmtId="177" fontId="0" fillId="2" borderId="24" xfId="0" applyNumberFormat="1" applyFill="1" applyBorder="1" applyAlignment="1">
      <alignment horizontal="center"/>
    </xf>
    <xf numFmtId="177" fontId="0" fillId="2" borderId="28" xfId="0" applyNumberFormat="1" applyFill="1" applyBorder="1" applyAlignment="1">
      <alignment horizontal="center"/>
    </xf>
    <xf numFmtId="0" fontId="0" fillId="2" borderId="24" xfId="0" applyFill="1" applyBorder="1" applyAlignment="1">
      <alignment horizontal="center"/>
    </xf>
    <xf numFmtId="0" fontId="0" fillId="3" borderId="24" xfId="0" applyFill="1" applyBorder="1" applyAlignment="1">
      <alignment horizontal="center"/>
    </xf>
    <xf numFmtId="0" fontId="0" fillId="3" borderId="28" xfId="0" applyFill="1" applyBorder="1" applyAlignment="1">
      <alignment horizontal="center"/>
    </xf>
    <xf numFmtId="0" fontId="68" fillId="2" borderId="24" xfId="0" applyFont="1" applyFill="1" applyBorder="1" applyAlignment="1">
      <alignment horizontal="center"/>
    </xf>
    <xf numFmtId="0" fontId="68" fillId="2" borderId="28" xfId="0" applyFont="1" applyFill="1" applyBorder="1" applyAlignment="1">
      <alignment horizontal="center"/>
    </xf>
    <xf numFmtId="164" fontId="68" fillId="2" borderId="24" xfId="0" applyNumberFormat="1" applyFont="1" applyFill="1" applyBorder="1" applyAlignment="1">
      <alignment horizontal="center"/>
    </xf>
    <xf numFmtId="0" fontId="0" fillId="2" borderId="21" xfId="0" applyFill="1" applyBorder="1" applyAlignment="1">
      <alignment horizontal="left" vertical="center"/>
    </xf>
    <xf numFmtId="164" fontId="0" fillId="2" borderId="24" xfId="0" applyNumberFormat="1" applyFill="1" applyBorder="1" applyAlignment="1">
      <alignment horizontal="center" vertical="center"/>
    </xf>
    <xf numFmtId="0" fontId="0" fillId="2" borderId="30" xfId="0" applyFill="1" applyBorder="1" applyAlignment="1">
      <alignment horizontal="center"/>
    </xf>
    <xf numFmtId="0" fontId="0" fillId="2" borderId="31" xfId="0" applyFill="1" applyBorder="1" applyAlignment="1">
      <alignment horizontal="center"/>
    </xf>
    <xf numFmtId="2" fontId="0" fillId="3" borderId="30" xfId="0" applyNumberFormat="1" applyFill="1" applyBorder="1" applyAlignment="1">
      <alignment horizontal="center"/>
    </xf>
    <xf numFmtId="164" fontId="0" fillId="2" borderId="54" xfId="0" applyNumberFormat="1" applyFill="1" applyBorder="1" applyAlignment="1">
      <alignment horizontal="center"/>
    </xf>
    <xf numFmtId="0" fontId="68" fillId="2" borderId="30" xfId="0" applyFont="1" applyFill="1" applyBorder="1" applyAlignment="1">
      <alignment horizontal="center"/>
    </xf>
    <xf numFmtId="0" fontId="0" fillId="2" borderId="15" xfId="0" applyFill="1" applyBorder="1" applyAlignment="1">
      <alignment horizontal="left"/>
    </xf>
    <xf numFmtId="0" fontId="0" fillId="2" borderId="49" xfId="0" applyFill="1" applyBorder="1"/>
    <xf numFmtId="0" fontId="0" fillId="4" borderId="13" xfId="0" applyFill="1" applyBorder="1" applyAlignment="1">
      <alignment horizontal="center"/>
    </xf>
    <xf numFmtId="164" fontId="0" fillId="2" borderId="19" xfId="0" applyNumberFormat="1" applyFill="1" applyBorder="1" applyAlignment="1">
      <alignment horizontal="center" vertical="center"/>
    </xf>
    <xf numFmtId="0" fontId="0" fillId="2" borderId="13" xfId="0" applyFill="1" applyBorder="1" applyAlignment="1">
      <alignment horizontal="center"/>
    </xf>
    <xf numFmtId="164" fontId="0" fillId="2" borderId="12" xfId="0" applyNumberFormat="1" applyFill="1" applyBorder="1" applyAlignment="1">
      <alignment horizontal="center"/>
    </xf>
    <xf numFmtId="177" fontId="0" fillId="2" borderId="12" xfId="0" applyNumberFormat="1" applyFill="1" applyBorder="1" applyAlignment="1">
      <alignment horizontal="center"/>
    </xf>
    <xf numFmtId="177" fontId="0" fillId="2" borderId="13" xfId="0" applyNumberFormat="1" applyFill="1" applyBorder="1" applyAlignment="1">
      <alignment horizontal="center"/>
    </xf>
    <xf numFmtId="0" fontId="0" fillId="2" borderId="12" xfId="0" applyFill="1" applyBorder="1" applyAlignment="1">
      <alignment horizontal="center"/>
    </xf>
    <xf numFmtId="0" fontId="68" fillId="2" borderId="12" xfId="0" applyFont="1" applyFill="1" applyBorder="1" applyAlignment="1">
      <alignment horizontal="center"/>
    </xf>
    <xf numFmtId="0" fontId="68" fillId="2" borderId="13" xfId="0" applyFont="1" applyFill="1" applyBorder="1" applyAlignment="1">
      <alignment horizontal="center"/>
    </xf>
    <xf numFmtId="164" fontId="68" fillId="2" borderId="12" xfId="0" applyNumberFormat="1" applyFont="1" applyFill="1" applyBorder="1" applyAlignment="1">
      <alignment horizontal="center"/>
    </xf>
    <xf numFmtId="0" fontId="0" fillId="2" borderId="17" xfId="0" applyFill="1" applyBorder="1" applyAlignment="1">
      <alignment horizontal="left" vertical="center"/>
    </xf>
    <xf numFmtId="0" fontId="0" fillId="2" borderId="15" xfId="0" applyFill="1" applyBorder="1" applyAlignment="1">
      <alignment horizontal="center"/>
    </xf>
    <xf numFmtId="0" fontId="0" fillId="2" borderId="33" xfId="0" applyFill="1" applyBorder="1" applyAlignment="1">
      <alignment horizontal="center"/>
    </xf>
    <xf numFmtId="2" fontId="0" fillId="3" borderId="15" xfId="0" applyNumberFormat="1" applyFill="1" applyBorder="1" applyAlignment="1">
      <alignment horizontal="center"/>
    </xf>
    <xf numFmtId="164" fontId="0" fillId="2" borderId="19" xfId="0" applyNumberFormat="1" applyFill="1" applyBorder="1" applyAlignment="1">
      <alignment horizontal="center"/>
    </xf>
    <xf numFmtId="0" fontId="68" fillId="2" borderId="15" xfId="0" applyFont="1" applyFill="1" applyBorder="1" applyAlignment="1">
      <alignment horizontal="center"/>
    </xf>
    <xf numFmtId="0" fontId="0" fillId="0" borderId="49" xfId="0" applyBorder="1"/>
    <xf numFmtId="164" fontId="0" fillId="2" borderId="30" xfId="0" applyNumberFormat="1" applyFill="1" applyBorder="1" applyAlignment="1">
      <alignment horizontal="center"/>
    </xf>
    <xf numFmtId="164" fontId="0" fillId="2" borderId="28" xfId="0" applyNumberFormat="1" applyFill="1" applyBorder="1" applyAlignment="1">
      <alignment horizontal="center"/>
    </xf>
    <xf numFmtId="164" fontId="0" fillId="2" borderId="15" xfId="0" applyNumberFormat="1" applyFill="1" applyBorder="1" applyAlignment="1">
      <alignment horizontal="center"/>
    </xf>
    <xf numFmtId="164" fontId="0" fillId="2" borderId="13" xfId="0" applyNumberFormat="1" applyFill="1" applyBorder="1" applyAlignment="1">
      <alignment horizontal="center"/>
    </xf>
    <xf numFmtId="0" fontId="92" fillId="2" borderId="30" xfId="0" applyFont="1" applyFill="1" applyBorder="1" applyAlignment="1">
      <alignment horizontal="left"/>
    </xf>
    <xf numFmtId="0" fontId="92" fillId="4" borderId="28" xfId="0" applyFont="1" applyFill="1" applyBorder="1" applyAlignment="1">
      <alignment horizontal="center"/>
    </xf>
    <xf numFmtId="164" fontId="92" fillId="2" borderId="54" xfId="0" applyNumberFormat="1" applyFont="1" applyFill="1" applyBorder="1" applyAlignment="1">
      <alignment horizontal="center" vertical="center"/>
    </xf>
    <xf numFmtId="0" fontId="92" fillId="2" borderId="28" xfId="0" applyFont="1" applyFill="1" applyBorder="1" applyAlignment="1">
      <alignment horizontal="center"/>
    </xf>
    <xf numFmtId="2" fontId="92" fillId="3" borderId="24" xfId="0" applyNumberFormat="1" applyFont="1" applyFill="1" applyBorder="1" applyAlignment="1">
      <alignment horizontal="center"/>
    </xf>
    <xf numFmtId="2" fontId="92" fillId="3" borderId="28" xfId="0" applyNumberFormat="1" applyFont="1" applyFill="1" applyBorder="1" applyAlignment="1">
      <alignment horizontal="center"/>
    </xf>
    <xf numFmtId="164" fontId="92" fillId="2" borderId="24" xfId="0" applyNumberFormat="1" applyFont="1" applyFill="1" applyBorder="1" applyAlignment="1">
      <alignment horizontal="center"/>
    </xf>
    <xf numFmtId="177" fontId="92" fillId="2" borderId="24" xfId="0" applyNumberFormat="1" applyFont="1" applyFill="1" applyBorder="1" applyAlignment="1">
      <alignment horizontal="center"/>
    </xf>
    <xf numFmtId="177" fontId="92" fillId="2" borderId="28" xfId="0" applyNumberFormat="1" applyFont="1" applyFill="1" applyBorder="1" applyAlignment="1">
      <alignment horizontal="center"/>
    </xf>
    <xf numFmtId="0" fontId="92" fillId="2" borderId="24" xfId="0" applyFont="1" applyFill="1" applyBorder="1" applyAlignment="1">
      <alignment horizontal="center"/>
    </xf>
    <xf numFmtId="0" fontId="92" fillId="3" borderId="24" xfId="0" applyFont="1" applyFill="1" applyBorder="1" applyAlignment="1">
      <alignment horizontal="center"/>
    </xf>
    <xf numFmtId="0" fontId="92" fillId="3" borderId="28" xfId="0" applyFont="1" applyFill="1" applyBorder="1" applyAlignment="1">
      <alignment horizontal="center"/>
    </xf>
    <xf numFmtId="0" fontId="92" fillId="2" borderId="21" xfId="0" applyFont="1" applyFill="1" applyBorder="1" applyAlignment="1">
      <alignment horizontal="left" vertical="center"/>
    </xf>
    <xf numFmtId="164" fontId="92" fillId="2" borderId="24" xfId="0" applyNumberFormat="1" applyFont="1" applyFill="1" applyBorder="1" applyAlignment="1">
      <alignment horizontal="center" vertical="center"/>
    </xf>
    <xf numFmtId="0" fontId="92" fillId="2" borderId="30" xfId="0" applyFont="1" applyFill="1" applyBorder="1" applyAlignment="1">
      <alignment horizontal="center"/>
    </xf>
    <xf numFmtId="0" fontId="92" fillId="2" borderId="31" xfId="0" applyFont="1" applyFill="1" applyBorder="1" applyAlignment="1">
      <alignment horizontal="center"/>
    </xf>
    <xf numFmtId="2" fontId="92" fillId="3" borderId="30" xfId="0" applyNumberFormat="1" applyFont="1" applyFill="1" applyBorder="1" applyAlignment="1">
      <alignment horizontal="center"/>
    </xf>
    <xf numFmtId="0" fontId="0" fillId="2" borderId="4" xfId="0" applyFill="1" applyBorder="1" applyAlignment="1">
      <alignment horizontal="left" vertical="center" wrapText="1"/>
    </xf>
    <xf numFmtId="3" fontId="63" fillId="25" borderId="91" xfId="0" applyNumberFormat="1" applyFont="1" applyFill="1" applyBorder="1" applyAlignment="1">
      <alignment horizontal="center" vertical="center" wrapText="1"/>
    </xf>
    <xf numFmtId="0" fontId="63" fillId="25" borderId="91" xfId="0" applyFont="1" applyFill="1" applyBorder="1" applyAlignment="1">
      <alignment horizontal="center" vertical="center" wrapText="1"/>
    </xf>
    <xf numFmtId="0" fontId="63" fillId="25" borderId="91" xfId="0" applyFont="1" applyFill="1" applyBorder="1" applyAlignment="1">
      <alignment vertical="center" wrapText="1"/>
    </xf>
    <xf numFmtId="0" fontId="63" fillId="25" borderId="91" xfId="0" applyFont="1" applyFill="1" applyBorder="1" applyAlignment="1">
      <alignment horizontal="left" vertical="top" wrapText="1"/>
    </xf>
    <xf numFmtId="4" fontId="0" fillId="2" borderId="7" xfId="0" applyNumberFormat="1" applyFill="1" applyBorder="1" applyAlignment="1">
      <alignment horizontal="center" vertical="center"/>
    </xf>
    <xf numFmtId="4" fontId="0" fillId="3" borderId="10" xfId="0" applyNumberFormat="1" applyFill="1" applyBorder="1" applyAlignment="1">
      <alignment horizontal="center"/>
    </xf>
    <xf numFmtId="4" fontId="0" fillId="3" borderId="7" xfId="0" applyNumberFormat="1" applyFill="1" applyBorder="1" applyAlignment="1">
      <alignment horizontal="center"/>
    </xf>
    <xf numFmtId="0" fontId="0" fillId="4" borderId="1" xfId="0" applyFill="1" applyBorder="1" applyAlignment="1">
      <alignment vertical="center"/>
    </xf>
    <xf numFmtId="0" fontId="0" fillId="4" borderId="16" xfId="0" applyFill="1" applyBorder="1" applyAlignment="1">
      <alignment horizontal="center"/>
    </xf>
    <xf numFmtId="2" fontId="0" fillId="4" borderId="17" xfId="0" applyNumberFormat="1" applyFill="1" applyBorder="1" applyAlignment="1">
      <alignment horizontal="center"/>
    </xf>
    <xf numFmtId="39" fontId="0" fillId="0" borderId="0" xfId="0" applyNumberFormat="1" applyAlignment="1" applyProtection="1">
      <alignment horizontal="center" vertical="center" wrapText="1"/>
      <protection hidden="1"/>
    </xf>
    <xf numFmtId="0" fontId="7" fillId="0" borderId="0" xfId="0" applyFont="1" applyAlignment="1">
      <alignment horizontal="left" vertical="center"/>
    </xf>
    <xf numFmtId="0" fontId="0" fillId="0" borderId="0" xfId="0" applyAlignment="1">
      <alignment wrapText="1"/>
    </xf>
    <xf numFmtId="0" fontId="6" fillId="10" borderId="27" xfId="0" applyFont="1" applyFill="1" applyBorder="1" applyAlignment="1" applyProtection="1">
      <alignment horizontal="center" vertical="center" wrapText="1"/>
      <protection hidden="1"/>
    </xf>
    <xf numFmtId="0" fontId="6" fillId="10" borderId="6" xfId="0" applyFont="1" applyFill="1" applyBorder="1" applyAlignment="1" applyProtection="1">
      <alignment horizontal="center" vertical="center" wrapText="1"/>
      <protection hidden="1"/>
    </xf>
    <xf numFmtId="0" fontId="6" fillId="10" borderId="7" xfId="0" applyFont="1" applyFill="1" applyBorder="1" applyAlignment="1" applyProtection="1">
      <alignment horizontal="center" vertical="center" wrapText="1"/>
      <protection hidden="1"/>
    </xf>
    <xf numFmtId="0" fontId="12" fillId="20" borderId="3" xfId="0" applyFont="1" applyFill="1" applyBorder="1" applyAlignment="1" applyProtection="1">
      <alignment horizontal="center" vertical="center"/>
      <protection hidden="1"/>
    </xf>
    <xf numFmtId="0" fontId="12" fillId="20" borderId="48" xfId="0" applyFont="1" applyFill="1" applyBorder="1" applyAlignment="1" applyProtection="1">
      <alignment horizontal="center" vertical="center"/>
      <protection hidden="1"/>
    </xf>
    <xf numFmtId="0" fontId="12" fillId="20" borderId="2" xfId="0" applyFont="1" applyFill="1" applyBorder="1" applyAlignment="1" applyProtection="1">
      <alignment horizontal="center" vertical="center"/>
      <protection hidden="1"/>
    </xf>
    <xf numFmtId="0" fontId="12" fillId="20" borderId="40" xfId="0" applyFont="1" applyFill="1" applyBorder="1" applyAlignment="1" applyProtection="1">
      <alignment horizontal="center" vertical="center"/>
      <protection hidden="1"/>
    </xf>
    <xf numFmtId="0" fontId="12" fillId="20" borderId="49" xfId="0" applyFont="1" applyFill="1" applyBorder="1" applyAlignment="1" applyProtection="1">
      <alignment horizontal="center" vertical="center"/>
      <protection hidden="1"/>
    </xf>
    <xf numFmtId="0" fontId="12" fillId="20" borderId="39" xfId="0" applyFont="1" applyFill="1" applyBorder="1" applyAlignment="1" applyProtection="1">
      <alignment horizontal="center" vertical="center"/>
      <protection hidden="1"/>
    </xf>
    <xf numFmtId="0" fontId="12" fillId="0" borderId="0" xfId="0" applyFont="1" applyAlignment="1" applyProtection="1">
      <alignment horizontal="center" vertical="center"/>
      <protection hidden="1"/>
    </xf>
    <xf numFmtId="0" fontId="6" fillId="7" borderId="11" xfId="0" applyFont="1" applyFill="1" applyBorder="1" applyAlignment="1" applyProtection="1">
      <alignment horizontal="center" vertical="center" wrapText="1"/>
      <protection hidden="1"/>
    </xf>
    <xf numFmtId="0" fontId="6" fillId="7" borderId="13" xfId="0" applyFont="1" applyFill="1" applyBorder="1" applyAlignment="1" applyProtection="1">
      <alignment horizontal="center" vertical="center" wrapText="1"/>
      <protection hidden="1"/>
    </xf>
    <xf numFmtId="0" fontId="12" fillId="20" borderId="4" xfId="0" applyFont="1" applyFill="1" applyBorder="1" applyAlignment="1" applyProtection="1">
      <alignment horizontal="center" vertical="center" wrapText="1"/>
      <protection hidden="1"/>
    </xf>
    <xf numFmtId="0" fontId="12" fillId="20" borderId="15" xfId="0" applyFont="1" applyFill="1" applyBorder="1" applyAlignment="1" applyProtection="1">
      <alignment horizontal="center" vertical="center" wrapText="1"/>
      <protection hidden="1"/>
    </xf>
    <xf numFmtId="0" fontId="12" fillId="20" borderId="11" xfId="0" applyFont="1" applyFill="1" applyBorder="1" applyAlignment="1" applyProtection="1">
      <alignment horizontal="center" vertical="center" wrapText="1"/>
      <protection hidden="1"/>
    </xf>
    <xf numFmtId="0" fontId="12" fillId="20" borderId="13" xfId="0" applyFont="1" applyFill="1" applyBorder="1" applyAlignment="1" applyProtection="1">
      <alignment horizontal="center" vertical="center" wrapText="1"/>
      <protection hidden="1"/>
    </xf>
    <xf numFmtId="0" fontId="13" fillId="20" borderId="3" xfId="0" applyFont="1" applyFill="1" applyBorder="1" applyAlignment="1" applyProtection="1">
      <alignment horizontal="center" vertical="center" wrapText="1"/>
      <protection hidden="1"/>
    </xf>
    <xf numFmtId="0" fontId="13" fillId="20" borderId="48" xfId="0" applyFont="1" applyFill="1" applyBorder="1" applyAlignment="1" applyProtection="1">
      <alignment horizontal="center" vertical="center" wrapText="1"/>
      <protection hidden="1"/>
    </xf>
    <xf numFmtId="0" fontId="13" fillId="20" borderId="2" xfId="0" applyFont="1" applyFill="1" applyBorder="1" applyAlignment="1" applyProtection="1">
      <alignment horizontal="center" vertical="center" wrapText="1"/>
      <protection hidden="1"/>
    </xf>
    <xf numFmtId="0" fontId="12" fillId="20" borderId="10" xfId="0" applyFont="1" applyFill="1" applyBorder="1" applyAlignment="1" applyProtection="1">
      <alignment horizontal="center" vertical="center" wrapText="1"/>
      <protection hidden="1"/>
    </xf>
    <xf numFmtId="0" fontId="12" fillId="20" borderId="12" xfId="0" applyFont="1" applyFill="1" applyBorder="1" applyAlignment="1" applyProtection="1">
      <alignment horizontal="center" vertical="center" wrapText="1"/>
      <protection hidden="1"/>
    </xf>
    <xf numFmtId="0" fontId="9" fillId="10" borderId="51" xfId="0" applyFont="1" applyFill="1" applyBorder="1" applyAlignment="1" applyProtection="1">
      <alignment horizontal="center" vertical="center"/>
      <protection hidden="1"/>
    </xf>
    <xf numFmtId="0" fontId="9" fillId="10" borderId="45" xfId="0" applyFont="1" applyFill="1" applyBorder="1" applyAlignment="1" applyProtection="1">
      <alignment horizontal="center" vertical="center"/>
      <protection hidden="1"/>
    </xf>
    <xf numFmtId="0" fontId="9" fillId="10" borderId="46" xfId="0" applyFont="1" applyFill="1" applyBorder="1" applyAlignment="1" applyProtection="1">
      <alignment horizontal="center" vertical="center"/>
      <protection hidden="1"/>
    </xf>
    <xf numFmtId="0" fontId="12" fillId="10" borderId="9" xfId="0" applyFont="1" applyFill="1" applyBorder="1" applyAlignment="1" applyProtection="1">
      <alignment horizontal="center" vertical="center" wrapText="1"/>
      <protection hidden="1"/>
    </xf>
    <xf numFmtId="0" fontId="12" fillId="10" borderId="11" xfId="0" applyFont="1" applyFill="1" applyBorder="1" applyAlignment="1" applyProtection="1">
      <alignment horizontal="center" vertical="center" wrapText="1"/>
      <protection hidden="1"/>
    </xf>
    <xf numFmtId="0" fontId="12" fillId="10" borderId="42" xfId="0" applyFont="1" applyFill="1" applyBorder="1" applyAlignment="1" applyProtection="1">
      <alignment horizontal="center" vertical="center" wrapText="1"/>
      <protection hidden="1"/>
    </xf>
    <xf numFmtId="0" fontId="6" fillId="7" borderId="41" xfId="0" applyFont="1" applyFill="1" applyBorder="1" applyAlignment="1" applyProtection="1">
      <alignment horizontal="center" vertical="center" wrapText="1"/>
      <protection hidden="1"/>
    </xf>
    <xf numFmtId="0" fontId="6" fillId="7" borderId="103" xfId="0" applyFont="1" applyFill="1" applyBorder="1" applyAlignment="1" applyProtection="1">
      <alignment horizontal="center" vertical="center" wrapText="1"/>
      <protection hidden="1"/>
    </xf>
    <xf numFmtId="0" fontId="12" fillId="10" borderId="37" xfId="0" applyFont="1" applyFill="1" applyBorder="1" applyAlignment="1" applyProtection="1">
      <alignment horizontal="center" vertical="center" wrapText="1"/>
      <protection hidden="1"/>
    </xf>
    <xf numFmtId="0" fontId="12" fillId="10" borderId="35" xfId="0" applyFont="1" applyFill="1" applyBorder="1" applyAlignment="1" applyProtection="1">
      <alignment horizontal="center" vertical="center" wrapText="1"/>
      <protection hidden="1"/>
    </xf>
    <xf numFmtId="0" fontId="6" fillId="26" borderId="10" xfId="0" applyFont="1" applyFill="1" applyBorder="1" applyAlignment="1" applyProtection="1">
      <alignment horizontal="center" vertical="center" wrapText="1"/>
      <protection hidden="1"/>
    </xf>
    <xf numFmtId="0" fontId="6" fillId="26" borderId="4" xfId="0" applyFont="1" applyFill="1" applyBorder="1" applyAlignment="1" applyProtection="1">
      <alignment horizontal="center" vertical="center" wrapText="1"/>
      <protection hidden="1"/>
    </xf>
    <xf numFmtId="0" fontId="6" fillId="26" borderId="11" xfId="0" applyFont="1" applyFill="1" applyBorder="1" applyAlignment="1" applyProtection="1">
      <alignment horizontal="center" vertical="center" wrapText="1"/>
      <protection hidden="1"/>
    </xf>
    <xf numFmtId="0" fontId="6" fillId="26" borderId="13" xfId="0" applyFont="1" applyFill="1" applyBorder="1" applyAlignment="1" applyProtection="1">
      <alignment horizontal="center" vertical="center" wrapText="1"/>
      <protection hidden="1"/>
    </xf>
    <xf numFmtId="0" fontId="6" fillId="7" borderId="98" xfId="0" applyFont="1" applyFill="1" applyBorder="1" applyAlignment="1" applyProtection="1">
      <alignment horizontal="center" vertical="center" wrapText="1"/>
      <protection hidden="1"/>
    </xf>
    <xf numFmtId="0" fontId="6" fillId="7" borderId="104" xfId="0" applyFont="1" applyFill="1" applyBorder="1" applyAlignment="1" applyProtection="1">
      <alignment horizontal="center" vertical="center" wrapText="1"/>
      <protection hidden="1"/>
    </xf>
    <xf numFmtId="0" fontId="6" fillId="10" borderId="42" xfId="0" applyFont="1" applyFill="1" applyBorder="1" applyAlignment="1" applyProtection="1">
      <alignment horizontal="center" vertical="center" wrapText="1"/>
      <protection hidden="1"/>
    </xf>
    <xf numFmtId="0" fontId="6" fillId="10" borderId="102" xfId="0" applyFont="1" applyFill="1" applyBorder="1" applyAlignment="1" applyProtection="1">
      <alignment horizontal="center" vertical="center" wrapText="1"/>
      <protection hidden="1"/>
    </xf>
    <xf numFmtId="4" fontId="6" fillId="11" borderId="37" xfId="0" applyNumberFormat="1" applyFont="1" applyFill="1" applyBorder="1" applyAlignment="1" applyProtection="1">
      <alignment horizontal="center" vertical="center" wrapText="1"/>
      <protection hidden="1"/>
    </xf>
    <xf numFmtId="4" fontId="6" fillId="11" borderId="35" xfId="0" applyNumberFormat="1" applyFont="1" applyFill="1" applyBorder="1" applyAlignment="1" applyProtection="1">
      <alignment horizontal="center" vertical="center" wrapText="1"/>
      <protection hidden="1"/>
    </xf>
    <xf numFmtId="0" fontId="6" fillId="11" borderId="37" xfId="0" applyFont="1" applyFill="1" applyBorder="1" applyAlignment="1" applyProtection="1">
      <alignment horizontal="center" vertical="center" wrapText="1"/>
      <protection hidden="1"/>
    </xf>
    <xf numFmtId="0" fontId="6" fillId="11" borderId="35" xfId="0" applyFont="1" applyFill="1" applyBorder="1" applyAlignment="1" applyProtection="1">
      <alignment horizontal="center" vertical="center" wrapText="1"/>
      <protection hidden="1"/>
    </xf>
    <xf numFmtId="4" fontId="6" fillId="11" borderId="48" xfId="0" applyNumberFormat="1" applyFont="1" applyFill="1" applyBorder="1" applyAlignment="1" applyProtection="1">
      <alignment horizontal="center" vertical="center" wrapText="1"/>
      <protection hidden="1"/>
    </xf>
    <xf numFmtId="4" fontId="6" fillId="11" borderId="0" xfId="0" applyNumberFormat="1" applyFont="1" applyFill="1" applyAlignment="1" applyProtection="1">
      <alignment horizontal="center" vertical="center" wrapText="1"/>
      <protection hidden="1"/>
    </xf>
    <xf numFmtId="0" fontId="12" fillId="10" borderId="108" xfId="0" applyFont="1" applyFill="1" applyBorder="1" applyAlignment="1" applyProtection="1">
      <alignment horizontal="center" vertical="center" wrapText="1"/>
      <protection hidden="1"/>
    </xf>
    <xf numFmtId="0" fontId="12" fillId="10" borderId="72" xfId="0" applyFont="1" applyFill="1" applyBorder="1" applyAlignment="1" applyProtection="1">
      <alignment horizontal="center" vertical="center" wrapText="1"/>
      <protection hidden="1"/>
    </xf>
    <xf numFmtId="0" fontId="6" fillId="7" borderId="35" xfId="0" applyFont="1" applyFill="1" applyBorder="1" applyAlignment="1" applyProtection="1">
      <alignment horizontal="center" vertical="center" wrapText="1"/>
      <protection hidden="1"/>
    </xf>
    <xf numFmtId="0" fontId="6" fillId="7" borderId="95" xfId="0" applyFont="1" applyFill="1" applyBorder="1" applyAlignment="1" applyProtection="1">
      <alignment horizontal="center" vertical="center" wrapText="1"/>
      <protection hidden="1"/>
    </xf>
    <xf numFmtId="0" fontId="6" fillId="7" borderId="23" xfId="0" applyFont="1" applyFill="1" applyBorder="1" applyAlignment="1" applyProtection="1">
      <alignment horizontal="center" vertical="center" wrapText="1"/>
      <protection hidden="1"/>
    </xf>
    <xf numFmtId="0" fontId="6" fillId="7" borderId="94" xfId="0" applyFont="1" applyFill="1" applyBorder="1" applyAlignment="1" applyProtection="1">
      <alignment horizontal="center" vertical="center" wrapText="1"/>
      <protection hidden="1"/>
    </xf>
    <xf numFmtId="0" fontId="76" fillId="26" borderId="3" xfId="0" applyFont="1" applyFill="1" applyBorder="1" applyAlignment="1" applyProtection="1">
      <alignment horizontal="center" vertical="center"/>
      <protection hidden="1"/>
    </xf>
    <xf numFmtId="0" fontId="76" fillId="26" borderId="48" xfId="0" applyFont="1" applyFill="1" applyBorder="1" applyAlignment="1" applyProtection="1">
      <alignment horizontal="center" vertical="center"/>
      <protection hidden="1"/>
    </xf>
    <xf numFmtId="0" fontId="76" fillId="26" borderId="2" xfId="0" applyFont="1" applyFill="1" applyBorder="1" applyAlignment="1" applyProtection="1">
      <alignment horizontal="center" vertical="center"/>
      <protection hidden="1"/>
    </xf>
    <xf numFmtId="0" fontId="88" fillId="7" borderId="0" xfId="0" applyFont="1" applyFill="1" applyAlignment="1" applyProtection="1">
      <alignment horizontal="left" vertical="top" wrapText="1"/>
      <protection hidden="1"/>
    </xf>
    <xf numFmtId="0" fontId="88" fillId="7" borderId="49" xfId="0" applyFont="1" applyFill="1" applyBorder="1" applyAlignment="1" applyProtection="1">
      <alignment horizontal="left" vertical="top" wrapText="1"/>
      <protection hidden="1"/>
    </xf>
    <xf numFmtId="0" fontId="6" fillId="10" borderId="34" xfId="0" applyFont="1" applyFill="1" applyBorder="1" applyAlignment="1" applyProtection="1">
      <alignment horizontal="center" vertical="center" wrapText="1"/>
      <protection hidden="1"/>
    </xf>
    <xf numFmtId="0" fontId="6" fillId="10" borderId="95" xfId="0" applyFont="1" applyFill="1" applyBorder="1" applyAlignment="1" applyProtection="1">
      <alignment horizontal="center" vertical="center" wrapText="1"/>
      <protection hidden="1"/>
    </xf>
    <xf numFmtId="0" fontId="6" fillId="9" borderId="27" xfId="0" applyFont="1" applyFill="1" applyBorder="1" applyAlignment="1" applyProtection="1">
      <alignment horizontal="center" vertical="center" wrapText="1"/>
      <protection hidden="1"/>
    </xf>
    <xf numFmtId="0" fontId="6" fillId="9" borderId="7" xfId="0" applyFont="1" applyFill="1" applyBorder="1" applyAlignment="1" applyProtection="1">
      <alignment horizontal="center" vertical="center" wrapText="1"/>
      <protection hidden="1"/>
    </xf>
    <xf numFmtId="0" fontId="6" fillId="9" borderId="34" xfId="0" applyFont="1" applyFill="1" applyBorder="1" applyAlignment="1" applyProtection="1">
      <alignment horizontal="center" vertical="center" wrapText="1"/>
      <protection hidden="1"/>
    </xf>
    <xf numFmtId="0" fontId="6" fillId="9" borderId="95" xfId="0" applyFont="1" applyFill="1" applyBorder="1" applyAlignment="1" applyProtection="1">
      <alignment horizontal="center" vertical="center" wrapText="1"/>
      <protection hidden="1"/>
    </xf>
    <xf numFmtId="0" fontId="6" fillId="9" borderId="42" xfId="0" applyFont="1" applyFill="1" applyBorder="1" applyAlignment="1" applyProtection="1">
      <alignment horizontal="center" vertical="center" wrapText="1"/>
      <protection hidden="1"/>
    </xf>
    <xf numFmtId="0" fontId="6" fillId="9" borderId="102" xfId="0" applyFont="1" applyFill="1" applyBorder="1" applyAlignment="1" applyProtection="1">
      <alignment horizontal="center" vertical="center" wrapText="1"/>
      <protection hidden="1"/>
    </xf>
    <xf numFmtId="0" fontId="6" fillId="8" borderId="36" xfId="0" applyFont="1" applyFill="1" applyBorder="1" applyAlignment="1" applyProtection="1">
      <alignment horizontal="center" vertical="center" wrapText="1"/>
      <protection hidden="1"/>
    </xf>
    <xf numFmtId="0" fontId="6" fillId="8" borderId="23" xfId="0" applyFont="1" applyFill="1" applyBorder="1" applyAlignment="1" applyProtection="1">
      <alignment horizontal="center" vertical="center" wrapText="1"/>
      <protection hidden="1"/>
    </xf>
    <xf numFmtId="0" fontId="6" fillId="8" borderId="94" xfId="0" applyFont="1" applyFill="1" applyBorder="1" applyAlignment="1" applyProtection="1">
      <alignment horizontal="center" vertical="center" wrapText="1"/>
      <protection hidden="1"/>
    </xf>
    <xf numFmtId="0" fontId="6" fillId="10" borderId="41" xfId="0" applyFont="1" applyFill="1" applyBorder="1" applyAlignment="1" applyProtection="1">
      <alignment horizontal="center" vertical="center" wrapText="1"/>
      <protection hidden="1"/>
    </xf>
    <xf numFmtId="0" fontId="6" fillId="10" borderId="103" xfId="0" applyFont="1" applyFill="1" applyBorder="1" applyAlignment="1" applyProtection="1">
      <alignment horizontal="center" vertical="center" wrapText="1"/>
      <protection hidden="1"/>
    </xf>
    <xf numFmtId="0" fontId="6" fillId="10" borderId="22" xfId="0" applyFont="1" applyFill="1" applyBorder="1" applyAlignment="1" applyProtection="1">
      <alignment horizontal="center" vertical="center" wrapText="1"/>
      <protection hidden="1"/>
    </xf>
    <xf numFmtId="0" fontId="6" fillId="10" borderId="94" xfId="0" applyFont="1" applyFill="1" applyBorder="1" applyAlignment="1" applyProtection="1">
      <alignment horizontal="center" vertical="center" wrapText="1"/>
      <protection hidden="1"/>
    </xf>
    <xf numFmtId="0" fontId="6" fillId="8" borderId="38" xfId="0" applyFont="1" applyFill="1" applyBorder="1" applyAlignment="1" applyProtection="1">
      <alignment horizontal="center" vertical="center" wrapText="1"/>
      <protection hidden="1"/>
    </xf>
    <xf numFmtId="0" fontId="6" fillId="8" borderId="50" xfId="0" applyFont="1" applyFill="1" applyBorder="1" applyAlignment="1" applyProtection="1">
      <alignment horizontal="center" vertical="center" wrapText="1"/>
      <protection hidden="1"/>
    </xf>
    <xf numFmtId="0" fontId="6" fillId="8" borderId="102" xfId="0" applyFont="1" applyFill="1" applyBorder="1" applyAlignment="1" applyProtection="1">
      <alignment horizontal="center" vertical="center" wrapText="1"/>
      <protection hidden="1"/>
    </xf>
    <xf numFmtId="0" fontId="4" fillId="4" borderId="0" xfId="1" applyFill="1" applyAlignment="1">
      <alignment horizontal="left" wrapText="1"/>
    </xf>
    <xf numFmtId="0" fontId="4" fillId="4" borderId="0" xfId="1" quotePrefix="1" applyFill="1" applyAlignment="1">
      <alignment horizontal="left" vertical="top" wrapText="1"/>
    </xf>
    <xf numFmtId="0" fontId="4" fillId="4" borderId="0" xfId="1" applyFill="1" applyAlignment="1">
      <alignment horizontal="left" vertical="top" wrapText="1"/>
    </xf>
    <xf numFmtId="0" fontId="4" fillId="4" borderId="0" xfId="1" quotePrefix="1" applyFill="1" applyAlignment="1">
      <alignment horizontal="left" wrapText="1"/>
    </xf>
    <xf numFmtId="0" fontId="72" fillId="27" borderId="57" xfId="0" applyFont="1" applyFill="1" applyBorder="1" applyAlignment="1" applyProtection="1">
      <alignment horizontal="center" vertical="center"/>
      <protection hidden="1"/>
    </xf>
    <xf numFmtId="0" fontId="72" fillId="27" borderId="69" xfId="0" applyFont="1" applyFill="1" applyBorder="1" applyAlignment="1" applyProtection="1">
      <alignment horizontal="center" vertical="center"/>
      <protection hidden="1"/>
    </xf>
    <xf numFmtId="0" fontId="22" fillId="12" borderId="58" xfId="0" applyFont="1" applyFill="1" applyBorder="1" applyAlignment="1" applyProtection="1">
      <alignment horizontal="left" indent="1"/>
      <protection locked="0"/>
    </xf>
    <xf numFmtId="168" fontId="22" fillId="12" borderId="58" xfId="0" applyNumberFormat="1" applyFont="1" applyFill="1" applyBorder="1" applyAlignment="1" applyProtection="1">
      <alignment horizontal="left" indent="1"/>
      <protection locked="0"/>
    </xf>
    <xf numFmtId="0" fontId="22" fillId="12" borderId="5" xfId="0" applyFont="1" applyFill="1" applyBorder="1" applyAlignment="1" applyProtection="1">
      <alignment horizontal="left" indent="1"/>
      <protection locked="0"/>
    </xf>
    <xf numFmtId="0" fontId="22" fillId="12" borderId="59" xfId="0" applyFont="1" applyFill="1" applyBorder="1" applyAlignment="1" applyProtection="1">
      <alignment horizontal="left" indent="1"/>
      <protection locked="0"/>
    </xf>
    <xf numFmtId="0" fontId="9" fillId="2" borderId="26" xfId="0" applyFont="1" applyFill="1" applyBorder="1" applyAlignment="1" applyProtection="1">
      <alignment horizontal="left" vertical="center" indent="1"/>
      <protection locked="0"/>
    </xf>
    <xf numFmtId="0" fontId="9" fillId="14" borderId="57" xfId="0" applyFont="1" applyFill="1" applyBorder="1" applyAlignment="1" applyProtection="1">
      <alignment horizontal="left" vertical="center" indent="1"/>
      <protection locked="0"/>
    </xf>
    <xf numFmtId="0" fontId="9" fillId="14" borderId="69" xfId="0" applyFont="1" applyFill="1" applyBorder="1" applyAlignment="1" applyProtection="1">
      <alignment horizontal="left" vertical="center" indent="1"/>
      <protection locked="0"/>
    </xf>
    <xf numFmtId="0" fontId="9" fillId="2" borderId="57" xfId="0" applyFont="1" applyFill="1" applyBorder="1" applyAlignment="1" applyProtection="1">
      <alignment horizontal="left" vertical="center" indent="1"/>
      <protection locked="0"/>
    </xf>
    <xf numFmtId="0" fontId="9" fillId="2" borderId="69" xfId="0" applyFont="1" applyFill="1" applyBorder="1" applyAlignment="1" applyProtection="1">
      <alignment horizontal="left" vertical="center" indent="1"/>
      <protection locked="0"/>
    </xf>
    <xf numFmtId="0" fontId="22" fillId="12" borderId="60" xfId="0" applyFont="1" applyFill="1" applyBorder="1" applyAlignment="1" applyProtection="1">
      <alignment horizontal="left" indent="1"/>
      <protection locked="0"/>
    </xf>
    <xf numFmtId="0" fontId="23" fillId="0" borderId="4" xfId="0" applyFont="1" applyBorder="1" applyAlignment="1" applyProtection="1">
      <alignment horizontal="center" vertical="center"/>
      <protection locked="0" hidden="1"/>
    </xf>
    <xf numFmtId="169" fontId="23" fillId="0" borderId="4" xfId="0" applyNumberFormat="1" applyFont="1" applyBorder="1" applyAlignment="1" applyProtection="1">
      <alignment horizontal="center" vertical="center"/>
      <protection locked="0" hidden="1"/>
    </xf>
    <xf numFmtId="0" fontId="20" fillId="12" borderId="27" xfId="0" applyFont="1" applyFill="1" applyBorder="1" applyAlignment="1" applyProtection="1">
      <alignment horizontal="left" vertical="center"/>
      <protection locked="0"/>
    </xf>
    <xf numFmtId="0" fontId="20" fillId="12" borderId="6" xfId="0" applyFont="1" applyFill="1" applyBorder="1" applyAlignment="1" applyProtection="1">
      <alignment horizontal="left" vertical="center"/>
      <protection locked="0"/>
    </xf>
    <xf numFmtId="0" fontId="20" fillId="12" borderId="7" xfId="0" applyFont="1" applyFill="1" applyBorder="1" applyAlignment="1" applyProtection="1">
      <alignment horizontal="left" vertical="center"/>
      <protection locked="0"/>
    </xf>
    <xf numFmtId="0" fontId="58" fillId="12" borderId="57" xfId="3" applyFont="1" applyFill="1" applyBorder="1" applyAlignment="1" applyProtection="1">
      <alignment horizontal="left" vertical="center"/>
      <protection hidden="1"/>
    </xf>
    <xf numFmtId="0" fontId="58" fillId="12" borderId="107" xfId="3" applyFont="1" applyFill="1" applyBorder="1" applyAlignment="1" applyProtection="1">
      <alignment horizontal="left" vertical="center"/>
      <protection hidden="1"/>
    </xf>
    <xf numFmtId="0" fontId="58" fillId="12" borderId="69" xfId="3" applyFont="1" applyFill="1" applyBorder="1" applyAlignment="1" applyProtection="1">
      <alignment horizontal="left" vertical="center"/>
      <protection hidden="1"/>
    </xf>
    <xf numFmtId="0" fontId="28" fillId="12" borderId="63" xfId="1" applyFont="1" applyFill="1" applyBorder="1" applyAlignment="1" applyProtection="1">
      <alignment horizontal="center" vertical="center"/>
      <protection hidden="1"/>
    </xf>
    <xf numFmtId="0" fontId="29" fillId="12" borderId="0" xfId="1" applyFont="1" applyFill="1" applyAlignment="1" applyProtection="1">
      <alignment horizontal="center" vertical="center"/>
      <protection hidden="1"/>
    </xf>
    <xf numFmtId="0" fontId="30" fillId="12" borderId="0" xfId="1" applyFont="1" applyFill="1" applyAlignment="1" applyProtection="1">
      <alignment horizontal="center" vertical="center"/>
      <protection hidden="1"/>
    </xf>
    <xf numFmtId="0" fontId="31" fillId="12" borderId="0" xfId="1" applyFont="1" applyFill="1" applyAlignment="1" applyProtection="1">
      <alignment horizontal="center" vertical="center"/>
      <protection hidden="1"/>
    </xf>
    <xf numFmtId="0" fontId="32" fillId="12" borderId="0" xfId="1" applyFont="1" applyFill="1" applyAlignment="1" applyProtection="1">
      <alignment horizontal="center" vertical="center"/>
      <protection hidden="1"/>
    </xf>
    <xf numFmtId="0" fontId="28" fillId="12" borderId="0" xfId="1" applyFont="1" applyFill="1" applyAlignment="1" applyProtection="1">
      <alignment horizontal="left" vertical="center" wrapText="1"/>
      <protection hidden="1"/>
    </xf>
    <xf numFmtId="0" fontId="35" fillId="16" borderId="3" xfId="0" applyFont="1" applyFill="1" applyBorder="1" applyAlignment="1" applyProtection="1">
      <alignment horizontal="center" vertical="center" wrapText="1"/>
      <protection hidden="1"/>
    </xf>
    <xf numFmtId="0" fontId="35" fillId="16" borderId="2" xfId="0" applyFont="1" applyFill="1" applyBorder="1" applyAlignment="1" applyProtection="1">
      <alignment horizontal="center" vertical="center" wrapText="1"/>
      <protection hidden="1"/>
    </xf>
    <xf numFmtId="0" fontId="35" fillId="16" borderId="40" xfId="0" applyFont="1" applyFill="1" applyBorder="1" applyAlignment="1" applyProtection="1">
      <alignment horizontal="center" vertical="center" wrapText="1"/>
      <protection hidden="1"/>
    </xf>
    <xf numFmtId="0" fontId="35" fillId="16" borderId="39" xfId="0" applyFont="1" applyFill="1" applyBorder="1" applyAlignment="1" applyProtection="1">
      <alignment horizontal="center" vertical="center" wrapText="1"/>
      <protection hidden="1"/>
    </xf>
    <xf numFmtId="0" fontId="18" fillId="12" borderId="5" xfId="1" applyFont="1" applyFill="1" applyBorder="1" applyAlignment="1" applyProtection="1">
      <alignment horizontal="left" vertical="center" wrapText="1"/>
      <protection hidden="1"/>
    </xf>
    <xf numFmtId="0" fontId="35" fillId="17" borderId="3" xfId="0" applyFont="1" applyFill="1" applyBorder="1" applyAlignment="1" applyProtection="1">
      <alignment horizontal="center" vertical="center"/>
      <protection hidden="1"/>
    </xf>
    <xf numFmtId="0" fontId="35" fillId="17" borderId="48" xfId="0" applyFont="1" applyFill="1" applyBorder="1" applyAlignment="1" applyProtection="1">
      <alignment horizontal="center" vertical="center"/>
      <protection hidden="1"/>
    </xf>
    <xf numFmtId="0" fontId="35" fillId="17" borderId="2" xfId="0" applyFont="1" applyFill="1" applyBorder="1" applyAlignment="1" applyProtection="1">
      <alignment horizontal="center" vertical="center"/>
      <protection hidden="1"/>
    </xf>
    <xf numFmtId="0" fontId="35" fillId="17" borderId="40" xfId="0" applyFont="1" applyFill="1" applyBorder="1" applyAlignment="1" applyProtection="1">
      <alignment horizontal="center" vertical="center"/>
      <protection hidden="1"/>
    </xf>
    <xf numFmtId="0" fontId="35" fillId="17" borderId="49" xfId="0" applyFont="1" applyFill="1" applyBorder="1" applyAlignment="1" applyProtection="1">
      <alignment horizontal="center" vertical="center"/>
      <protection hidden="1"/>
    </xf>
    <xf numFmtId="0" fontId="35" fillId="17" borderId="39" xfId="0" applyFont="1" applyFill="1" applyBorder="1" applyAlignment="1" applyProtection="1">
      <alignment horizontal="center" vertical="center"/>
      <protection hidden="1"/>
    </xf>
    <xf numFmtId="0" fontId="36" fillId="12" borderId="0" xfId="1" applyFont="1" applyFill="1" applyAlignment="1" applyProtection="1">
      <alignment horizontal="left" vertical="center" wrapText="1"/>
      <protection hidden="1"/>
    </xf>
    <xf numFmtId="172" fontId="27" fillId="12" borderId="0" xfId="1" applyNumberFormat="1" applyFont="1" applyFill="1" applyAlignment="1" applyProtection="1">
      <alignment horizontal="center" vertical="center"/>
      <protection hidden="1"/>
    </xf>
    <xf numFmtId="0" fontId="18" fillId="12" borderId="61" xfId="1" applyFont="1" applyFill="1" applyBorder="1" applyAlignment="1" applyProtection="1">
      <alignment horizontal="center" vertical="center"/>
      <protection hidden="1"/>
    </xf>
    <xf numFmtId="0" fontId="18" fillId="12" borderId="27" xfId="1" applyFont="1" applyFill="1" applyBorder="1" applyAlignment="1">
      <alignment horizontal="left" vertical="top" wrapText="1"/>
    </xf>
    <xf numFmtId="0" fontId="18" fillId="12" borderId="6" xfId="1" applyFont="1" applyFill="1" applyBorder="1" applyAlignment="1">
      <alignment horizontal="left" vertical="top" wrapText="1"/>
    </xf>
    <xf numFmtId="0" fontId="18" fillId="12" borderId="7" xfId="1" applyFont="1" applyFill="1" applyBorder="1" applyAlignment="1">
      <alignment horizontal="left" vertical="top" wrapText="1"/>
    </xf>
    <xf numFmtId="0" fontId="38" fillId="18" borderId="61" xfId="1" applyFont="1" applyFill="1" applyBorder="1" applyAlignment="1" applyProtection="1">
      <alignment horizontal="left" vertical="center" indent="1"/>
      <protection hidden="1"/>
    </xf>
    <xf numFmtId="0" fontId="38" fillId="18" borderId="64" xfId="1" applyFont="1" applyFill="1" applyBorder="1" applyAlignment="1" applyProtection="1">
      <alignment horizontal="left" vertical="center" indent="1"/>
      <protection hidden="1"/>
    </xf>
    <xf numFmtId="0" fontId="39" fillId="12" borderId="0" xfId="1" applyFont="1" applyFill="1" applyAlignment="1" applyProtection="1">
      <alignment horizontal="center" vertical="center"/>
      <protection hidden="1"/>
    </xf>
    <xf numFmtId="0" fontId="40" fillId="12" borderId="0" xfId="1" applyFont="1" applyFill="1" applyAlignment="1" applyProtection="1">
      <alignment horizontal="left" vertical="center"/>
      <protection hidden="1"/>
    </xf>
    <xf numFmtId="0" fontId="41" fillId="12" borderId="0" xfId="1" applyFont="1" applyFill="1" applyAlignment="1" applyProtection="1">
      <alignment horizontal="center" vertical="center"/>
      <protection hidden="1"/>
    </xf>
    <xf numFmtId="0" fontId="42" fillId="12" borderId="0" xfId="1" applyFont="1" applyFill="1" applyAlignment="1" applyProtection="1">
      <alignment horizontal="center" vertical="center"/>
      <protection hidden="1"/>
    </xf>
    <xf numFmtId="0" fontId="18" fillId="12" borderId="0" xfId="1" applyFont="1" applyFill="1" applyAlignment="1" applyProtection="1">
      <alignment horizontal="left" vertical="top"/>
      <protection locked="0"/>
    </xf>
    <xf numFmtId="0" fontId="6" fillId="10" borderId="28" xfId="0" applyFont="1" applyFill="1" applyBorder="1" applyAlignment="1" applyProtection="1">
      <alignment horizontal="center" vertical="center" wrapText="1"/>
      <protection hidden="1"/>
    </xf>
    <xf numFmtId="0" fontId="6" fillId="10" borderId="30" xfId="0" applyFont="1" applyFill="1" applyBorder="1" applyAlignment="1" applyProtection="1">
      <alignment horizontal="center" vertical="center" wrapText="1"/>
      <protection hidden="1"/>
    </xf>
    <xf numFmtId="0" fontId="11" fillId="0" borderId="27" xfId="0" applyFont="1" applyBorder="1" applyAlignment="1" applyProtection="1">
      <alignment horizontal="left" vertical="center"/>
      <protection hidden="1"/>
    </xf>
    <xf numFmtId="0" fontId="11" fillId="0" borderId="7" xfId="0" applyFont="1" applyBorder="1" applyAlignment="1" applyProtection="1">
      <alignment horizontal="left" vertical="center"/>
      <protection hidden="1"/>
    </xf>
    <xf numFmtId="0" fontId="6" fillId="10" borderId="4" xfId="0" applyFont="1" applyFill="1" applyBorder="1" applyAlignment="1" applyProtection="1">
      <alignment horizontal="center" vertical="center" wrapText="1"/>
      <protection hidden="1"/>
    </xf>
    <xf numFmtId="0" fontId="6" fillId="9" borderId="30" xfId="0" applyFont="1" applyFill="1" applyBorder="1" applyAlignment="1" applyProtection="1">
      <alignment horizontal="center" vertical="center" wrapText="1"/>
      <protection hidden="1"/>
    </xf>
    <xf numFmtId="0" fontId="6" fillId="8" borderId="24" xfId="0" applyFont="1" applyFill="1" applyBorder="1" applyAlignment="1" applyProtection="1">
      <alignment horizontal="center" vertical="center" wrapText="1"/>
      <protection hidden="1"/>
    </xf>
    <xf numFmtId="0" fontId="6" fillId="8" borderId="28" xfId="0" applyFont="1" applyFill="1" applyBorder="1" applyAlignment="1" applyProtection="1">
      <alignment horizontal="center" vertical="center" wrapText="1"/>
      <protection hidden="1"/>
    </xf>
    <xf numFmtId="0" fontId="6" fillId="9" borderId="74" xfId="0" applyFont="1" applyFill="1" applyBorder="1" applyAlignment="1" applyProtection="1">
      <alignment horizontal="center" vertical="center" wrapText="1"/>
      <protection hidden="1"/>
    </xf>
    <xf numFmtId="0" fontId="6" fillId="9" borderId="56" xfId="0" applyFont="1" applyFill="1" applyBorder="1" applyAlignment="1" applyProtection="1">
      <alignment horizontal="center" vertical="center" wrapText="1"/>
      <protection hidden="1"/>
    </xf>
    <xf numFmtId="0" fontId="6" fillId="9" borderId="4" xfId="0" applyFont="1" applyFill="1" applyBorder="1" applyAlignment="1" applyProtection="1">
      <alignment horizontal="center" vertical="center" wrapText="1"/>
      <protection hidden="1"/>
    </xf>
    <xf numFmtId="0" fontId="6" fillId="9" borderId="28" xfId="0" applyFont="1" applyFill="1" applyBorder="1" applyAlignment="1" applyProtection="1">
      <alignment horizontal="center" vertical="center" wrapText="1"/>
      <protection hidden="1"/>
    </xf>
    <xf numFmtId="0" fontId="63" fillId="25" borderId="91" xfId="0" applyFont="1" applyFill="1" applyBorder="1" applyAlignment="1">
      <alignment horizontal="left" vertical="top" wrapText="1"/>
    </xf>
    <xf numFmtId="0" fontId="63" fillId="25" borderId="87" xfId="0" applyFont="1" applyFill="1" applyBorder="1" applyAlignment="1">
      <alignment horizontal="left" vertical="top" wrapText="1"/>
    </xf>
    <xf numFmtId="0" fontId="63" fillId="24" borderId="91" xfId="0" applyFont="1" applyFill="1" applyBorder="1" applyAlignment="1">
      <alignment horizontal="left" vertical="top" wrapText="1"/>
    </xf>
    <xf numFmtId="0" fontId="63" fillId="24" borderId="87" xfId="0" applyFont="1" applyFill="1" applyBorder="1" applyAlignment="1">
      <alignment horizontal="left" vertical="top" wrapText="1"/>
    </xf>
    <xf numFmtId="3" fontId="63" fillId="25" borderId="91" xfId="0" applyNumberFormat="1" applyFont="1" applyFill="1" applyBorder="1" applyAlignment="1">
      <alignment horizontal="center" vertical="center" wrapText="1"/>
    </xf>
    <xf numFmtId="3" fontId="63" fillId="25" borderId="87" xfId="0" applyNumberFormat="1" applyFont="1" applyFill="1" applyBorder="1" applyAlignment="1">
      <alignment horizontal="center" vertical="center" wrapText="1"/>
    </xf>
    <xf numFmtId="3" fontId="63" fillId="24" borderId="91" xfId="0" applyNumberFormat="1" applyFont="1" applyFill="1" applyBorder="1" applyAlignment="1">
      <alignment horizontal="center" vertical="center" wrapText="1"/>
    </xf>
    <xf numFmtId="3" fontId="63" fillId="24" borderId="87" xfId="0" applyNumberFormat="1" applyFont="1" applyFill="1" applyBorder="1" applyAlignment="1">
      <alignment horizontal="center" vertical="center" wrapText="1"/>
    </xf>
    <xf numFmtId="0" fontId="63" fillId="25" borderId="91" xfId="0" applyFont="1" applyFill="1" applyBorder="1" applyAlignment="1">
      <alignment horizontal="center" vertical="center" wrapText="1"/>
    </xf>
    <xf numFmtId="0" fontId="63" fillId="25" borderId="87" xfId="0" applyFont="1" applyFill="1" applyBorder="1" applyAlignment="1">
      <alignment horizontal="center" vertical="center" wrapText="1"/>
    </xf>
    <xf numFmtId="0" fontId="63" fillId="24" borderId="91" xfId="0" applyFont="1" applyFill="1" applyBorder="1" applyAlignment="1">
      <alignment horizontal="center" vertical="center" wrapText="1"/>
    </xf>
    <xf numFmtId="0" fontId="63" fillId="24" borderId="87" xfId="0" applyFont="1" applyFill="1" applyBorder="1" applyAlignment="1">
      <alignment horizontal="center" vertical="center" wrapText="1"/>
    </xf>
    <xf numFmtId="0" fontId="63" fillId="25" borderId="91" xfId="0" applyFont="1" applyFill="1" applyBorder="1" applyAlignment="1">
      <alignment vertical="center" wrapText="1"/>
    </xf>
    <xf numFmtId="0" fontId="63" fillId="25" borderId="87" xfId="0" applyFont="1" applyFill="1" applyBorder="1" applyAlignment="1">
      <alignment vertical="center" wrapText="1"/>
    </xf>
    <xf numFmtId="0" fontId="63" fillId="24" borderId="91" xfId="0" applyFont="1" applyFill="1" applyBorder="1" applyAlignment="1">
      <alignment vertical="center" wrapText="1"/>
    </xf>
    <xf numFmtId="0" fontId="63" fillId="24" borderId="88" xfId="0" applyFont="1" applyFill="1" applyBorder="1" applyAlignment="1">
      <alignment vertical="center" wrapText="1"/>
    </xf>
    <xf numFmtId="0" fontId="63" fillId="24" borderId="87" xfId="0" applyFont="1" applyFill="1" applyBorder="1" applyAlignment="1">
      <alignment vertical="center" wrapText="1"/>
    </xf>
    <xf numFmtId="0" fontId="63" fillId="24" borderId="88" xfId="0" applyFont="1" applyFill="1" applyBorder="1" applyAlignment="1">
      <alignment horizontal="center" vertical="center" wrapText="1"/>
    </xf>
    <xf numFmtId="0" fontId="63" fillId="24" borderId="88" xfId="0" applyFont="1" applyFill="1" applyBorder="1" applyAlignment="1">
      <alignment horizontal="left" vertical="top" wrapText="1"/>
    </xf>
    <xf numFmtId="0" fontId="63" fillId="25" borderId="91" xfId="0" applyFont="1" applyFill="1" applyBorder="1" applyAlignment="1">
      <alignment horizontal="left" vertical="center" wrapText="1"/>
    </xf>
    <xf numFmtId="0" fontId="63" fillId="25" borderId="88" xfId="0" applyFont="1" applyFill="1" applyBorder="1" applyAlignment="1">
      <alignment horizontal="left" vertical="center" wrapText="1"/>
    </xf>
    <xf numFmtId="0" fontId="63" fillId="25" borderId="87" xfId="0" applyFont="1" applyFill="1" applyBorder="1" applyAlignment="1">
      <alignment horizontal="left" vertical="center" wrapText="1"/>
    </xf>
    <xf numFmtId="0" fontId="63" fillId="25" borderId="88" xfId="0" applyFont="1" applyFill="1" applyBorder="1" applyAlignment="1">
      <alignment horizontal="left" vertical="top" wrapText="1"/>
    </xf>
    <xf numFmtId="0" fontId="63" fillId="25" borderId="88" xfId="0" applyFont="1" applyFill="1" applyBorder="1" applyAlignment="1">
      <alignment vertical="center" wrapText="1"/>
    </xf>
    <xf numFmtId="0" fontId="63" fillId="25" borderId="88" xfId="0" applyFont="1" applyFill="1" applyBorder="1" applyAlignment="1">
      <alignment horizontal="center" vertical="center" wrapText="1"/>
    </xf>
    <xf numFmtId="3" fontId="63" fillId="24" borderId="88" xfId="0" applyNumberFormat="1" applyFont="1" applyFill="1" applyBorder="1" applyAlignment="1">
      <alignment horizontal="center" vertical="center" wrapText="1"/>
    </xf>
    <xf numFmtId="3" fontId="63" fillId="25" borderId="88" xfId="0" applyNumberFormat="1" applyFont="1" applyFill="1" applyBorder="1" applyAlignment="1">
      <alignment horizontal="center" vertical="center" wrapText="1"/>
    </xf>
    <xf numFmtId="0" fontId="83" fillId="4" borderId="0" xfId="0" applyFont="1" applyFill="1" applyAlignment="1" applyProtection="1">
      <alignment horizontal="left" vertical="top" wrapText="1"/>
      <protection hidden="1"/>
    </xf>
    <xf numFmtId="0" fontId="87" fillId="4" borderId="0" xfId="0" applyFont="1" applyFill="1" applyAlignment="1" applyProtection="1">
      <alignment horizontal="right" wrapText="1"/>
      <protection hidden="1"/>
    </xf>
    <xf numFmtId="0" fontId="0" fillId="4" borderId="0" xfId="0" applyFill="1" applyAlignment="1" applyProtection="1">
      <alignment horizontal="left" vertical="top" wrapText="1"/>
      <protection hidden="1"/>
    </xf>
    <xf numFmtId="0" fontId="1" fillId="4" borderId="34" xfId="3" applyFill="1" applyBorder="1" applyAlignment="1">
      <alignment horizontal="center" vertical="center" wrapText="1"/>
    </xf>
    <xf numFmtId="0" fontId="1" fillId="4" borderId="30" xfId="3" applyFill="1" applyBorder="1" applyAlignment="1">
      <alignment horizontal="center" vertical="center" wrapText="1"/>
    </xf>
    <xf numFmtId="0" fontId="1" fillId="0" borderId="55" xfId="3" applyBorder="1" applyAlignment="1">
      <alignment horizontal="center" vertical="center" textRotation="90" wrapText="1"/>
    </xf>
    <xf numFmtId="0" fontId="1" fillId="0" borderId="93" xfId="3" applyBorder="1" applyAlignment="1">
      <alignment horizontal="center" vertical="center" textRotation="90" wrapText="1"/>
    </xf>
    <xf numFmtId="0" fontId="1" fillId="4" borderId="4" xfId="3" applyFill="1" applyBorder="1" applyAlignment="1">
      <alignment horizontal="center" vertical="center" wrapText="1"/>
    </xf>
    <xf numFmtId="0" fontId="1" fillId="2" borderId="36" xfId="3" applyFill="1" applyBorder="1" applyAlignment="1">
      <alignment horizontal="center" vertical="center" textRotation="90"/>
    </xf>
    <xf numFmtId="0" fontId="1" fillId="2" borderId="23" xfId="3" applyFill="1" applyBorder="1" applyAlignment="1">
      <alignment horizontal="center" vertical="center" textRotation="90"/>
    </xf>
    <xf numFmtId="0" fontId="1" fillId="2" borderId="24" xfId="3" applyFill="1" applyBorder="1" applyAlignment="1">
      <alignment horizontal="center" vertical="center" textRotation="90"/>
    </xf>
    <xf numFmtId="0" fontId="0" fillId="2" borderId="49" xfId="3" applyFont="1" applyFill="1" applyBorder="1" applyAlignment="1">
      <alignment horizontal="center" vertical="center"/>
    </xf>
    <xf numFmtId="0" fontId="1" fillId="2" borderId="49" xfId="3" applyFill="1" applyBorder="1" applyAlignment="1">
      <alignment horizontal="center" vertical="center"/>
    </xf>
    <xf numFmtId="0" fontId="1" fillId="4" borderId="32" xfId="3" applyFill="1" applyBorder="1" applyAlignment="1">
      <alignment horizontal="center" vertical="center" wrapText="1"/>
    </xf>
    <xf numFmtId="0" fontId="1" fillId="4" borderId="16" xfId="3" applyFill="1" applyBorder="1" applyAlignment="1">
      <alignment horizontal="center" vertical="center" wrapText="1"/>
    </xf>
    <xf numFmtId="0" fontId="1" fillId="4" borderId="17" xfId="3" applyFill="1" applyBorder="1" applyAlignment="1">
      <alignment horizontal="center" vertical="center" wrapText="1"/>
    </xf>
    <xf numFmtId="0" fontId="1" fillId="4" borderId="8" xfId="3" applyFill="1" applyBorder="1" applyAlignment="1">
      <alignment horizontal="center" vertical="center" wrapText="1"/>
    </xf>
    <xf numFmtId="0" fontId="1" fillId="4" borderId="18" xfId="3" applyFill="1" applyBorder="1" applyAlignment="1">
      <alignment horizontal="center" vertical="center" wrapText="1"/>
    </xf>
    <xf numFmtId="0" fontId="1" fillId="4" borderId="14" xfId="3" applyFill="1" applyBorder="1" applyAlignment="1">
      <alignment horizontal="center" vertical="center" wrapText="1"/>
    </xf>
    <xf numFmtId="0" fontId="1" fillId="4" borderId="29" xfId="3" applyFill="1" applyBorder="1" applyAlignment="1">
      <alignment horizontal="center" vertical="center" wrapText="1"/>
    </xf>
    <xf numFmtId="0" fontId="1" fillId="4" borderId="9" xfId="3" applyFill="1" applyBorder="1" applyAlignment="1">
      <alignment horizontal="center" vertical="center" wrapText="1"/>
    </xf>
    <xf numFmtId="0" fontId="1" fillId="4" borderId="8" xfId="3" applyFill="1" applyBorder="1" applyAlignment="1">
      <alignment horizontal="center" vertical="center"/>
    </xf>
    <xf numFmtId="0" fontId="1" fillId="4" borderId="9" xfId="3" applyFill="1" applyBorder="1" applyAlignment="1">
      <alignment horizontal="center" vertical="center"/>
    </xf>
    <xf numFmtId="0" fontId="1" fillId="4" borderId="10" xfId="3" applyFill="1" applyBorder="1" applyAlignment="1">
      <alignment horizontal="center" vertical="center"/>
    </xf>
    <xf numFmtId="0" fontId="1" fillId="4" borderId="11" xfId="3" applyFill="1" applyBorder="1" applyAlignment="1">
      <alignment horizontal="center" vertical="center"/>
    </xf>
    <xf numFmtId="0" fontId="1" fillId="4" borderId="12" xfId="3" applyFill="1" applyBorder="1" applyAlignment="1">
      <alignment horizontal="center" vertical="center"/>
    </xf>
    <xf numFmtId="0" fontId="1" fillId="4" borderId="13" xfId="3" applyFill="1" applyBorder="1" applyAlignment="1">
      <alignment horizontal="center" vertical="center"/>
    </xf>
    <xf numFmtId="0" fontId="0" fillId="3" borderId="8" xfId="3" applyFont="1" applyFill="1" applyBorder="1" applyAlignment="1">
      <alignment horizontal="center" vertical="center"/>
    </xf>
    <xf numFmtId="0" fontId="1" fillId="3" borderId="9" xfId="3" applyFill="1" applyBorder="1" applyAlignment="1">
      <alignment horizontal="center" vertical="center"/>
    </xf>
    <xf numFmtId="0" fontId="1" fillId="4" borderId="52" xfId="3" applyFill="1" applyBorder="1" applyAlignment="1">
      <alignment horizontal="center" vertical="center" wrapText="1"/>
    </xf>
    <xf numFmtId="0" fontId="1" fillId="4" borderId="53" xfId="3" applyFill="1" applyBorder="1" applyAlignment="1">
      <alignment horizontal="center" vertical="center" wrapText="1"/>
    </xf>
    <xf numFmtId="0" fontId="1" fillId="4" borderId="27" xfId="3" applyFill="1" applyBorder="1" applyAlignment="1">
      <alignment horizontal="center" vertical="center" wrapText="1"/>
    </xf>
    <xf numFmtId="0" fontId="65" fillId="2" borderId="0" xfId="49" applyFont="1" applyFill="1" applyAlignment="1" applyProtection="1">
      <alignment horizontal="left" vertical="center"/>
      <protection hidden="1"/>
    </xf>
  </cellXfs>
  <cellStyles count="93">
    <cellStyle name="Comma 2" xfId="10" xr:uid="{00000000-0005-0000-0000-000000000000}"/>
    <cellStyle name="Comma 2 2" xfId="11" xr:uid="{00000000-0005-0000-0000-000001000000}"/>
    <cellStyle name="Comma 2 3" xfId="12" xr:uid="{00000000-0005-0000-0000-000002000000}"/>
    <cellStyle name="Comma 3" xfId="13" xr:uid="{00000000-0005-0000-0000-000003000000}"/>
    <cellStyle name="Comma 4" xfId="14" xr:uid="{00000000-0005-0000-0000-000004000000}"/>
    <cellStyle name="Comma 4 2" xfId="15" xr:uid="{00000000-0005-0000-0000-000005000000}"/>
    <cellStyle name="Comma 4 2 2" xfId="16" xr:uid="{00000000-0005-0000-0000-000006000000}"/>
    <cellStyle name="Comma 4 2 2 2" xfId="17" xr:uid="{00000000-0005-0000-0000-000007000000}"/>
    <cellStyle name="Comma 4 2 3" xfId="18" xr:uid="{00000000-0005-0000-0000-000008000000}"/>
    <cellStyle name="Comma 4 3" xfId="19" xr:uid="{00000000-0005-0000-0000-000009000000}"/>
    <cellStyle name="Comma 4 3 2" xfId="20" xr:uid="{00000000-0005-0000-0000-00000A000000}"/>
    <cellStyle name="Comma 4 4" xfId="21" xr:uid="{00000000-0005-0000-0000-00000B000000}"/>
    <cellStyle name="Comma 5" xfId="22" xr:uid="{00000000-0005-0000-0000-00000C000000}"/>
    <cellStyle name="Comma 5 2" xfId="23" xr:uid="{00000000-0005-0000-0000-00000D000000}"/>
    <cellStyle name="Comma 5 2 2" xfId="24" xr:uid="{00000000-0005-0000-0000-00000E000000}"/>
    <cellStyle name="Comma 5 2 2 2" xfId="25" xr:uid="{00000000-0005-0000-0000-00000F000000}"/>
    <cellStyle name="Comma 5 2 3" xfId="26" xr:uid="{00000000-0005-0000-0000-000010000000}"/>
    <cellStyle name="Comma 5 3" xfId="27" xr:uid="{00000000-0005-0000-0000-000011000000}"/>
    <cellStyle name="Comma 5 3 2" xfId="28" xr:uid="{00000000-0005-0000-0000-000012000000}"/>
    <cellStyle name="Comma 5 4" xfId="29" xr:uid="{00000000-0005-0000-0000-000013000000}"/>
    <cellStyle name="Comma 6" xfId="30" xr:uid="{00000000-0005-0000-0000-000014000000}"/>
    <cellStyle name="Comma 6 2" xfId="31" xr:uid="{00000000-0005-0000-0000-000015000000}"/>
    <cellStyle name="Comma 6 2 2" xfId="32" xr:uid="{00000000-0005-0000-0000-000016000000}"/>
    <cellStyle name="Comma 6 3" xfId="33" xr:uid="{00000000-0005-0000-0000-000017000000}"/>
    <cellStyle name="Comma 7" xfId="34" xr:uid="{00000000-0005-0000-0000-000018000000}"/>
    <cellStyle name="Comma 7 2" xfId="35" xr:uid="{00000000-0005-0000-0000-000019000000}"/>
    <cellStyle name="Comma 8" xfId="36" xr:uid="{00000000-0005-0000-0000-00001A000000}"/>
    <cellStyle name="Comma 9" xfId="37" xr:uid="{00000000-0005-0000-0000-00001B000000}"/>
    <cellStyle name="Currency" xfId="8" builtinId="4"/>
    <cellStyle name="Currency 2" xfId="38" xr:uid="{00000000-0005-0000-0000-00001D000000}"/>
    <cellStyle name="Currency 3" xfId="39" xr:uid="{00000000-0005-0000-0000-00001E000000}"/>
    <cellStyle name="Currency 4" xfId="40" xr:uid="{00000000-0005-0000-0000-00001F000000}"/>
    <cellStyle name="Good" xfId="91" builtinId="26"/>
    <cellStyle name="Hyperlink" xfId="90" builtinId="8"/>
    <cellStyle name="Hyperlink 2" xfId="41" xr:uid="{00000000-0005-0000-0000-000021000000}"/>
    <cellStyle name="Hyperlink 3" xfId="42" xr:uid="{00000000-0005-0000-0000-000022000000}"/>
    <cellStyle name="Neutral" xfId="92" builtinId="28"/>
    <cellStyle name="no dec" xfId="43" xr:uid="{00000000-0005-0000-0000-000023000000}"/>
    <cellStyle name="Normal" xfId="0" builtinId="0"/>
    <cellStyle name="Normal 10" xfId="44" xr:uid="{00000000-0005-0000-0000-000025000000}"/>
    <cellStyle name="Normal 11" xfId="45" xr:uid="{00000000-0005-0000-0000-000026000000}"/>
    <cellStyle name="Normal 12" xfId="46" xr:uid="{00000000-0005-0000-0000-000027000000}"/>
    <cellStyle name="Normal 2" xfId="1" xr:uid="{00000000-0005-0000-0000-000028000000}"/>
    <cellStyle name="Normal 2 2" xfId="3" xr:uid="{00000000-0005-0000-0000-000029000000}"/>
    <cellStyle name="Normal 2 3" xfId="4" xr:uid="{00000000-0005-0000-0000-00002A000000}"/>
    <cellStyle name="Normal 2 5" xfId="6" xr:uid="{00000000-0005-0000-0000-00002B000000}"/>
    <cellStyle name="Normal 3" xfId="47" xr:uid="{00000000-0005-0000-0000-00002C000000}"/>
    <cellStyle name="Normal 3 2" xfId="5" xr:uid="{00000000-0005-0000-0000-00002D000000}"/>
    <cellStyle name="Normal 3 3" xfId="7" xr:uid="{00000000-0005-0000-0000-00002E000000}"/>
    <cellStyle name="Normal 4" xfId="48" xr:uid="{00000000-0005-0000-0000-00002F000000}"/>
    <cellStyle name="Normal 5" xfId="49" xr:uid="{00000000-0005-0000-0000-000030000000}"/>
    <cellStyle name="Normal 6" xfId="50" xr:uid="{00000000-0005-0000-0000-000031000000}"/>
    <cellStyle name="Normal 6 2" xfId="51" xr:uid="{00000000-0005-0000-0000-000032000000}"/>
    <cellStyle name="Normal 6 2 2" xfId="52" xr:uid="{00000000-0005-0000-0000-000033000000}"/>
    <cellStyle name="Normal 6 2 2 2" xfId="53" xr:uid="{00000000-0005-0000-0000-000034000000}"/>
    <cellStyle name="Normal 6 2 3" xfId="54" xr:uid="{00000000-0005-0000-0000-000035000000}"/>
    <cellStyle name="Normal 6 3" xfId="55" xr:uid="{00000000-0005-0000-0000-000036000000}"/>
    <cellStyle name="Normal 6 3 2" xfId="56" xr:uid="{00000000-0005-0000-0000-000037000000}"/>
    <cellStyle name="Normal 6 4" xfId="57" xr:uid="{00000000-0005-0000-0000-000038000000}"/>
    <cellStyle name="Normal 7" xfId="58" xr:uid="{00000000-0005-0000-0000-000039000000}"/>
    <cellStyle name="Normal 7 2" xfId="59" xr:uid="{00000000-0005-0000-0000-00003A000000}"/>
    <cellStyle name="Normal 8" xfId="60" xr:uid="{00000000-0005-0000-0000-00003B000000}"/>
    <cellStyle name="Normal 8 2" xfId="61" xr:uid="{00000000-0005-0000-0000-00003C000000}"/>
    <cellStyle name="Normal 8 2 2" xfId="62" xr:uid="{00000000-0005-0000-0000-00003D000000}"/>
    <cellStyle name="Normal 8 3" xfId="63" xr:uid="{00000000-0005-0000-0000-00003E000000}"/>
    <cellStyle name="Normal 9" xfId="64" xr:uid="{00000000-0005-0000-0000-00003F000000}"/>
    <cellStyle name="Normal 9 2" xfId="65" xr:uid="{00000000-0005-0000-0000-000040000000}"/>
    <cellStyle name="Percent" xfId="9" builtinId="5"/>
    <cellStyle name="Percent 2" xfId="2" xr:uid="{00000000-0005-0000-0000-000042000000}"/>
    <cellStyle name="Percent 3" xfId="66" xr:uid="{00000000-0005-0000-0000-000043000000}"/>
    <cellStyle name="Percent 3 2" xfId="67" xr:uid="{00000000-0005-0000-0000-000044000000}"/>
    <cellStyle name="Percent 3 2 2" xfId="68" xr:uid="{00000000-0005-0000-0000-000045000000}"/>
    <cellStyle name="Percent 3 2 2 2" xfId="69" xr:uid="{00000000-0005-0000-0000-000046000000}"/>
    <cellStyle name="Percent 3 2 3" xfId="70" xr:uid="{00000000-0005-0000-0000-000047000000}"/>
    <cellStyle name="Percent 3 3" xfId="71" xr:uid="{00000000-0005-0000-0000-000048000000}"/>
    <cellStyle name="Percent 3 3 2" xfId="72" xr:uid="{00000000-0005-0000-0000-000049000000}"/>
    <cellStyle name="Percent 3 4" xfId="73" xr:uid="{00000000-0005-0000-0000-00004A000000}"/>
    <cellStyle name="Percent 4" xfId="74" xr:uid="{00000000-0005-0000-0000-00004B000000}"/>
    <cellStyle name="Percent 5" xfId="75" xr:uid="{00000000-0005-0000-0000-00004C000000}"/>
    <cellStyle name="Percent 5 2" xfId="76" xr:uid="{00000000-0005-0000-0000-00004D000000}"/>
    <cellStyle name="Percent 5 2 2" xfId="77" xr:uid="{00000000-0005-0000-0000-00004E000000}"/>
    <cellStyle name="Percent 5 2 2 2" xfId="78" xr:uid="{00000000-0005-0000-0000-00004F000000}"/>
    <cellStyle name="Percent 5 2 3" xfId="79" xr:uid="{00000000-0005-0000-0000-000050000000}"/>
    <cellStyle name="Percent 5 3" xfId="80" xr:uid="{00000000-0005-0000-0000-000051000000}"/>
    <cellStyle name="Percent 5 3 2" xfId="81" xr:uid="{00000000-0005-0000-0000-000052000000}"/>
    <cellStyle name="Percent 5 4" xfId="82" xr:uid="{00000000-0005-0000-0000-000053000000}"/>
    <cellStyle name="Percent 6" xfId="83" xr:uid="{00000000-0005-0000-0000-000054000000}"/>
    <cellStyle name="Percent 6 2" xfId="84" xr:uid="{00000000-0005-0000-0000-000055000000}"/>
    <cellStyle name="Percent 6 2 2" xfId="85" xr:uid="{00000000-0005-0000-0000-000056000000}"/>
    <cellStyle name="Percent 6 3" xfId="86" xr:uid="{00000000-0005-0000-0000-000057000000}"/>
    <cellStyle name="Percent 7" xfId="87" xr:uid="{00000000-0005-0000-0000-000058000000}"/>
    <cellStyle name="Percent 7 2" xfId="88" xr:uid="{00000000-0005-0000-0000-000059000000}"/>
    <cellStyle name="Percent 8" xfId="89" xr:uid="{00000000-0005-0000-0000-00005A000000}"/>
  </cellStyles>
  <dxfs count="74">
    <dxf>
      <font>
        <b val="0"/>
        <i val="0"/>
        <strike val="0"/>
        <condense val="0"/>
        <extend val="0"/>
        <outline val="0"/>
        <shadow val="0"/>
        <u val="none"/>
        <vertAlign val="baseline"/>
        <sz val="10"/>
        <color rgb="FF000000"/>
        <name val="Calibri"/>
        <scheme val="minor"/>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rgb="FF000000"/>
        <name val="Calibri"/>
        <scheme val="minor"/>
      </font>
      <numFmt numFmtId="33" formatCode="_(* #,##0_);_(* \(#,##0\);_(* &quot;-&quot;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rgb="FF000000"/>
        <name val="Calibri"/>
        <scheme val="minor"/>
      </font>
      <numFmt numFmtId="33" formatCode="_(* #,##0_);_(* \(#,##0\);_(* &quot;-&quot;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rgb="FF000000"/>
        <name val="Calibri"/>
        <scheme val="minor"/>
      </font>
      <numFmt numFmtId="33" formatCode="_(* #,##0_);_(* \(#,##0\);_(* &quot;-&quot;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rgb="FF000000"/>
        <name val="Calibri"/>
        <scheme val="minor"/>
      </font>
      <numFmt numFmtId="33" formatCode="_(* #,##0_);_(* \(#,##0\);_(* &quot;-&quot;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rgb="FF000000"/>
        <name val="Calibri"/>
        <scheme val="minor"/>
      </font>
      <numFmt numFmtId="33" formatCode="_(* #,##0_);_(* \(#,##0\);_(* &quot;-&quot;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rgb="FF000000"/>
        <name val="Calibri"/>
        <scheme val="minor"/>
      </font>
      <numFmt numFmtId="33" formatCode="_(* #,##0_);_(* \(#,##0\);_(* &quot;-&quot;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rgb="FF000000"/>
        <name val="Calibri"/>
        <scheme val="minor"/>
      </font>
      <numFmt numFmtId="35" formatCode="_(* #,##0.00_);_(* \(#,##0.00\);_(* &quot;-&quot;??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rgb="FF000000"/>
        <name val="Calibri"/>
        <scheme val="minor"/>
      </font>
      <numFmt numFmtId="35" formatCode="_(* #,##0.00_);_(* \(#,##0.00\);_(* &quot;-&quot;??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rgb="FF000000"/>
        <name val="Calibri"/>
        <scheme val="minor"/>
      </font>
      <numFmt numFmtId="35" formatCode="_(* #,##0.00_);_(* \(#,##0.00\);_(* &quot;-&quot;??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rgb="FF000000"/>
        <name val="Calibri"/>
        <scheme val="minor"/>
      </font>
      <numFmt numFmtId="35" formatCode="_(* #,##0.00_);_(* \(#,##0.00\);_(* &quot;-&quot;??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rgb="FF000000"/>
        <name val="Calibri"/>
        <scheme val="minor"/>
      </font>
      <numFmt numFmtId="35" formatCode="_(* #,##0.00_);_(* \(#,##0.00\);_(* &quot;-&quot;??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rgb="FF000000"/>
        <name val="Calibri"/>
        <scheme val="minor"/>
      </font>
      <numFmt numFmtId="35" formatCode="_(* #,##0.00_);_(* \(#,##0.00\);_(* &quot;-&quot;??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rgb="FF000000"/>
        <name val="Calibri"/>
        <scheme val="minor"/>
      </font>
      <numFmt numFmtId="35" formatCode="_(* #,##0.00_);_(* \(#,##0.00\);_(* &quot;-&quot;??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rgb="FF000000"/>
        <name val="Calibri"/>
        <scheme val="minor"/>
      </font>
      <numFmt numFmtId="35" formatCode="_(* #,##0.00_);_(* \(#,##0.00\);_(* &quot;-&quot;??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rgb="FF000000"/>
        <name val="Calibri"/>
        <scheme val="minor"/>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rgb="FF000000"/>
        <name val="Calibri"/>
        <scheme val="minor"/>
      </font>
      <alignment horizontal="general" vertical="center" textRotation="0" wrapText="0" indent="0" justifyLastLine="0" shrinkToFit="0" readingOrder="0"/>
    </dxf>
    <dxf>
      <border outline="0">
        <bottom style="thin">
          <color indexed="64"/>
        </bottom>
      </border>
    </dxf>
    <dxf>
      <font>
        <b val="0"/>
        <i val="0"/>
        <strike val="0"/>
        <condense val="0"/>
        <extend val="0"/>
        <outline val="0"/>
        <shadow val="0"/>
        <u val="none"/>
        <vertAlign val="baseline"/>
        <sz val="10"/>
        <color rgb="FF000000"/>
        <name val="Calibri"/>
        <scheme val="minor"/>
      </font>
      <fill>
        <patternFill patternType="solid">
          <fgColor indexed="64"/>
          <bgColor rgb="FFD9D9D9"/>
        </patternFill>
      </fill>
      <alignment horizontal="center" vertical="center" textRotation="0" wrapText="1" indent="0" justifyLastLine="0" shrinkToFit="0" readingOrder="0"/>
    </dxf>
    <dxf>
      <font>
        <color rgb="FF9C0006"/>
      </font>
      <fill>
        <patternFill>
          <bgColor rgb="FFFFC7CE"/>
        </patternFill>
      </fill>
    </dxf>
    <dxf>
      <font>
        <color rgb="FF9C0006"/>
      </font>
      <fill>
        <patternFill>
          <bgColor rgb="FFFFC7CE"/>
        </patternFill>
      </fill>
    </dxf>
    <dxf>
      <fill>
        <patternFill>
          <bgColor theme="9" tint="0.59996337778862885"/>
        </patternFill>
      </fill>
    </dxf>
    <dxf>
      <numFmt numFmtId="177" formatCode="#,##0.0"/>
    </dxf>
    <dxf>
      <font>
        <color rgb="FFFF0000"/>
      </font>
    </dxf>
    <dxf>
      <font>
        <color theme="0"/>
      </font>
      <fill>
        <patternFill>
          <bgColor theme="0" tint="-0.24994659260841701"/>
        </patternFill>
      </fill>
    </dxf>
    <dxf>
      <font>
        <color theme="0"/>
      </font>
      <fill>
        <patternFill>
          <bgColor theme="0" tint="-0.24994659260841701"/>
        </patternFill>
      </fill>
    </dxf>
    <dxf>
      <font>
        <color theme="0"/>
      </font>
      <fill>
        <patternFill>
          <bgColor theme="0" tint="-0.24994659260841701"/>
        </patternFill>
      </fill>
    </dxf>
    <dxf>
      <font>
        <color theme="0"/>
      </font>
      <fill>
        <patternFill>
          <bgColor theme="0" tint="-0.24994659260841701"/>
        </patternFill>
      </fill>
    </dxf>
    <dxf>
      <font>
        <color theme="0"/>
      </font>
      <fill>
        <patternFill>
          <bgColor theme="0" tint="-0.24994659260841701"/>
        </patternFill>
      </fill>
    </dxf>
    <dxf>
      <font>
        <color theme="0"/>
      </font>
      <fill>
        <patternFill>
          <bgColor theme="0" tint="-0.24994659260841701"/>
        </patternFill>
      </fill>
    </dxf>
    <dxf>
      <font>
        <color theme="0"/>
      </font>
      <fill>
        <patternFill>
          <bgColor theme="0" tint="-0.24994659260841701"/>
        </patternFill>
      </fill>
    </dxf>
    <dxf>
      <numFmt numFmtId="177" formatCode="#,##0.0"/>
    </dxf>
    <dxf>
      <font>
        <color rgb="FFFF0000"/>
      </font>
    </dxf>
    <dxf>
      <font>
        <color rgb="FFFF0000"/>
      </font>
    </dxf>
    <dxf>
      <font>
        <color theme="0"/>
      </font>
      <fill>
        <patternFill>
          <bgColor theme="0" tint="-0.24994659260841701"/>
        </patternFill>
      </fill>
    </dxf>
    <dxf>
      <font>
        <color theme="0"/>
      </font>
      <fill>
        <patternFill>
          <bgColor theme="0" tint="-0.24994659260841701"/>
        </patternFill>
      </fill>
    </dxf>
    <dxf>
      <font>
        <color theme="0"/>
      </font>
      <fill>
        <patternFill>
          <bgColor theme="0" tint="-0.24994659260841701"/>
        </patternFill>
      </fill>
    </dxf>
    <dxf>
      <font>
        <color theme="0"/>
      </font>
      <fill>
        <patternFill>
          <bgColor theme="0" tint="-0.24994659260841701"/>
        </patternFill>
      </fill>
    </dxf>
    <dxf>
      <font>
        <color theme="0"/>
      </font>
      <fill>
        <patternFill>
          <bgColor theme="0" tint="-0.24994659260841701"/>
        </patternFill>
      </fill>
    </dxf>
    <dxf>
      <font>
        <color theme="0"/>
      </font>
      <fill>
        <patternFill>
          <bgColor theme="0" tint="-0.24994659260841701"/>
        </patternFill>
      </fill>
    </dxf>
    <dxf>
      <font>
        <color theme="0"/>
      </font>
      <fill>
        <patternFill>
          <bgColor theme="0" tint="-0.24994659260841701"/>
        </patternFill>
      </fill>
    </dxf>
    <dxf>
      <font>
        <color theme="0"/>
      </font>
      <fill>
        <patternFill>
          <bgColor theme="0" tint="-0.24994659260841701"/>
        </patternFill>
      </fill>
    </dxf>
    <dxf>
      <font>
        <color theme="0"/>
      </font>
      <fill>
        <patternFill>
          <bgColor theme="0" tint="-0.24994659260841701"/>
        </patternFill>
      </fill>
    </dxf>
    <dxf>
      <font>
        <color theme="0"/>
      </font>
      <fill>
        <patternFill>
          <bgColor theme="0" tint="-0.24994659260841701"/>
        </patternFill>
      </fill>
    </dxf>
    <dxf>
      <font>
        <color theme="0"/>
      </font>
      <fill>
        <patternFill>
          <bgColor theme="0" tint="-0.24994659260841701"/>
        </patternFill>
      </fill>
    </dxf>
    <dxf>
      <font>
        <color theme="0"/>
      </font>
      <fill>
        <patternFill>
          <bgColor theme="0" tint="-0.24994659260841701"/>
        </patternFill>
      </fill>
    </dxf>
    <dxf>
      <font>
        <color theme="0"/>
      </font>
      <fill>
        <patternFill>
          <bgColor theme="0" tint="-0.24994659260841701"/>
        </patternFill>
      </fill>
    </dxf>
    <dxf>
      <font>
        <color theme="0"/>
      </font>
      <fill>
        <patternFill>
          <bgColor theme="0" tint="-0.24994659260841701"/>
        </patternFill>
      </fill>
    </dxf>
    <dxf>
      <numFmt numFmtId="177" formatCode="#,##0.0"/>
    </dxf>
    <dxf>
      <font>
        <color rgb="FFFF0000"/>
      </font>
    </dxf>
    <dxf>
      <numFmt numFmtId="177" formatCode="#,##0.0"/>
    </dxf>
    <dxf>
      <font>
        <color rgb="FFFF0000"/>
      </font>
    </dxf>
    <dxf>
      <numFmt numFmtId="177" formatCode="#,##0.0"/>
    </dxf>
    <dxf>
      <font>
        <color rgb="FFFF0000"/>
      </font>
    </dxf>
    <dxf>
      <numFmt numFmtId="177" formatCode="#,##0.0"/>
    </dxf>
    <dxf>
      <font>
        <color rgb="FFFF0000"/>
      </font>
    </dxf>
    <dxf>
      <numFmt numFmtId="177" formatCode="#,##0.0"/>
    </dxf>
    <dxf>
      <font>
        <color rgb="FFFF0000"/>
      </font>
    </dxf>
    <dxf>
      <numFmt numFmtId="177" formatCode="#,##0.0"/>
    </dxf>
    <dxf>
      <font>
        <color rgb="FFFF0000"/>
      </font>
    </dxf>
    <dxf>
      <numFmt numFmtId="177" formatCode="#,##0.0"/>
    </dxf>
    <dxf>
      <font>
        <color rgb="FFFF0000"/>
      </font>
    </dxf>
    <dxf>
      <numFmt numFmtId="177" formatCode="#,##0.0"/>
    </dxf>
    <dxf>
      <numFmt numFmtId="165" formatCode="0.000"/>
    </dxf>
    <dxf>
      <numFmt numFmtId="177" formatCode="#,##0.0"/>
    </dxf>
    <dxf>
      <font>
        <color rgb="FFFF0000"/>
      </font>
    </dxf>
    <dxf>
      <font>
        <color theme="0"/>
      </font>
      <fill>
        <patternFill>
          <bgColor theme="0" tint="-0.24994659260841701"/>
        </patternFill>
      </fill>
    </dxf>
    <dxf>
      <numFmt numFmtId="165" formatCode="0.000"/>
    </dxf>
    <dxf>
      <font>
        <color rgb="FFFF0000"/>
      </font>
    </dxf>
    <dxf>
      <font>
        <color rgb="FFFF0000"/>
      </font>
    </dxf>
    <dxf>
      <font>
        <color theme="0"/>
      </font>
      <fill>
        <patternFill>
          <bgColor theme="0" tint="-0.24994659260841701"/>
        </patternFill>
      </fill>
    </dxf>
    <dxf>
      <font>
        <color theme="0"/>
      </font>
      <fill>
        <patternFill>
          <bgColor theme="0" tint="-0.24994659260841701"/>
        </patternFill>
      </fill>
    </dxf>
    <dxf>
      <font>
        <color theme="0"/>
      </font>
      <fill>
        <patternFill>
          <bgColor theme="0" tint="-0.24994659260841701"/>
        </patternFill>
      </fill>
    </dxf>
    <dxf>
      <font>
        <color theme="0"/>
      </font>
      <fill>
        <patternFill>
          <bgColor theme="0" tint="-0.24994659260841701"/>
        </patternFill>
      </fill>
    </dxf>
  </dxfs>
  <tableStyles count="0" defaultTableStyle="TableStyleMedium9" defaultPivotStyle="PivotStyleLight16"/>
  <colors>
    <mruColors>
      <color rgb="FFFFCC99"/>
      <color rgb="FFCCCCFF"/>
      <color rgb="FFCC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microsoft.com/office/2017/10/relationships/person" Target="persons/person.xml"/><Relationship Id="rId30" Type="http://schemas.openxmlformats.org/officeDocument/2006/relationships/customXml" Target="../customXml/item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n-US"/>
              <a:t>HVAC System Costs</a:t>
            </a:r>
          </a:p>
        </c:rich>
      </c:tx>
      <c:layout>
        <c:manualLayout>
          <c:xMode val="edge"/>
          <c:yMode val="edge"/>
          <c:x val="0.36683978062064276"/>
          <c:y val="3.0550967279802856E-2"/>
        </c:manualLayout>
      </c:layout>
      <c:overlay val="0"/>
      <c:spPr>
        <a:noFill/>
        <a:ln w="25400">
          <a:noFill/>
        </a:ln>
      </c:spPr>
    </c:title>
    <c:autoTitleDeleted val="0"/>
    <c:plotArea>
      <c:layout>
        <c:manualLayout>
          <c:layoutTarget val="inner"/>
          <c:xMode val="edge"/>
          <c:yMode val="edge"/>
          <c:x val="0.18765730816190912"/>
          <c:y val="0.14325705213528556"/>
          <c:w val="0.77588496128150519"/>
          <c:h val="0.74882969567704238"/>
        </c:manualLayout>
      </c:layout>
      <c:barChart>
        <c:barDir val="bar"/>
        <c:grouping val="stacked"/>
        <c:varyColors val="0"/>
        <c:ser>
          <c:idx val="0"/>
          <c:order val="0"/>
          <c:spPr>
            <a:solidFill>
              <a:srgbClr val="4F81BD"/>
            </a:solidFill>
            <a:ln w="25400">
              <a:noFill/>
            </a:ln>
          </c:spPr>
          <c:invertIfNegative val="0"/>
          <c:dPt>
            <c:idx val="0"/>
            <c:invertIfNegative val="0"/>
            <c:bubble3D val="0"/>
            <c:spPr>
              <a:solidFill>
                <a:srgbClr val="FF0000"/>
              </a:solidFill>
              <a:ln w="25400">
                <a:noFill/>
              </a:ln>
            </c:spPr>
            <c:extLst>
              <c:ext xmlns:c16="http://schemas.microsoft.com/office/drawing/2014/chart" uri="{C3380CC4-5D6E-409C-BE32-E72D297353CC}">
                <c16:uniqueId val="{00000001-0DC6-4457-8909-90BA3531C4A1}"/>
              </c:ext>
            </c:extLst>
          </c:dPt>
          <c:dPt>
            <c:idx val="1"/>
            <c:invertIfNegative val="0"/>
            <c:bubble3D val="0"/>
            <c:spPr>
              <a:solidFill>
                <a:srgbClr val="00B050"/>
              </a:solidFill>
              <a:ln w="25400">
                <a:noFill/>
              </a:ln>
            </c:spPr>
            <c:extLst>
              <c:ext xmlns:c16="http://schemas.microsoft.com/office/drawing/2014/chart" uri="{C3380CC4-5D6E-409C-BE32-E72D297353CC}">
                <c16:uniqueId val="{00000003-0DC6-4457-8909-90BA3531C4A1}"/>
              </c:ext>
            </c:extLst>
          </c:dPt>
          <c:dLbls>
            <c:spPr>
              <a:noFill/>
              <a:ln w="25400">
                <a:noFill/>
              </a:ln>
            </c:spPr>
            <c:txPr>
              <a:bodyPr/>
              <a:lstStyle/>
              <a:p>
                <a:pPr>
                  <a:defRPr sz="1400" b="1" i="0" u="none" strike="noStrike" baseline="0">
                    <a:solidFill>
                      <a:srgbClr val="000000"/>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Report!$L$52:$L$54</c:f>
              <c:strCache>
                <c:ptCount val="3"/>
                <c:pt idx="0">
                  <c:v>ANNUAL COST
OF WAITING!</c:v>
                </c:pt>
                <c:pt idx="1">
                  <c:v>Annual Cost
after Retrofit</c:v>
                </c:pt>
                <c:pt idx="2">
                  <c:v>Annual Cost
before Retrofit</c:v>
                </c:pt>
              </c:strCache>
            </c:strRef>
          </c:cat>
          <c:val>
            <c:numRef>
              <c:f>Report!$M$52:$M$54</c:f>
              <c:numCache>
                <c:formatCode>\$#,##0</c:formatCode>
                <c:ptCount val="3"/>
                <c:pt idx="0">
                  <c:v>0</c:v>
                </c:pt>
                <c:pt idx="1">
                  <c:v>0</c:v>
                </c:pt>
                <c:pt idx="2">
                  <c:v>0</c:v>
                </c:pt>
              </c:numCache>
            </c:numRef>
          </c:val>
          <c:extLst>
            <c:ext xmlns:c16="http://schemas.microsoft.com/office/drawing/2014/chart" uri="{C3380CC4-5D6E-409C-BE32-E72D297353CC}">
              <c16:uniqueId val="{00000004-0DC6-4457-8909-90BA3531C4A1}"/>
            </c:ext>
          </c:extLst>
        </c:ser>
        <c:dLbls>
          <c:showLegendKey val="0"/>
          <c:showVal val="0"/>
          <c:showCatName val="0"/>
          <c:showSerName val="0"/>
          <c:showPercent val="0"/>
          <c:showBubbleSize val="0"/>
        </c:dLbls>
        <c:gapWidth val="25"/>
        <c:overlap val="100"/>
        <c:axId val="611517952"/>
        <c:axId val="611846400"/>
      </c:barChart>
      <c:catAx>
        <c:axId val="611517952"/>
        <c:scaling>
          <c:orientation val="minMax"/>
        </c:scaling>
        <c:delete val="0"/>
        <c:axPos val="l"/>
        <c:numFmt formatCode="General" sourceLinked="1"/>
        <c:majorTickMark val="out"/>
        <c:minorTickMark val="none"/>
        <c:tickLblPos val="nextTo"/>
        <c:spPr>
          <a:ln w="12700">
            <a:solidFill>
              <a:srgbClr val="878787"/>
            </a:solidFill>
            <a:prstDash val="solid"/>
          </a:ln>
        </c:spPr>
        <c:txPr>
          <a:bodyPr rot="0" vert="horz"/>
          <a:lstStyle/>
          <a:p>
            <a:pPr>
              <a:defRPr sz="1400" b="1" i="0" u="none" strike="noStrike" baseline="0">
                <a:solidFill>
                  <a:srgbClr val="000000"/>
                </a:solidFill>
                <a:latin typeface="Calibri"/>
                <a:ea typeface="Calibri"/>
                <a:cs typeface="Calibri"/>
              </a:defRPr>
            </a:pPr>
            <a:endParaRPr lang="en-US"/>
          </a:p>
        </c:txPr>
        <c:crossAx val="611846400"/>
        <c:crossesAt val="0"/>
        <c:auto val="1"/>
        <c:lblAlgn val="ctr"/>
        <c:lblOffset val="100"/>
        <c:tickLblSkip val="1"/>
        <c:tickMarkSkip val="1"/>
        <c:noMultiLvlLbl val="0"/>
      </c:catAx>
      <c:valAx>
        <c:axId val="611846400"/>
        <c:scaling>
          <c:orientation val="minMax"/>
        </c:scaling>
        <c:delete val="0"/>
        <c:axPos val="b"/>
        <c:majorGridlines>
          <c:spPr>
            <a:ln w="12700">
              <a:solidFill>
                <a:srgbClr val="878787"/>
              </a:solidFill>
              <a:prstDash val="solid"/>
            </a:ln>
          </c:spPr>
        </c:majorGridlines>
        <c:numFmt formatCode="\$#,##0" sourceLinked="1"/>
        <c:majorTickMark val="out"/>
        <c:minorTickMark val="none"/>
        <c:tickLblPos val="nextTo"/>
        <c:spPr>
          <a:ln w="12700">
            <a:solidFill>
              <a:srgbClr val="878787"/>
            </a:solidFill>
            <a:prstDash val="solid"/>
          </a:ln>
        </c:spPr>
        <c:txPr>
          <a:bodyPr rot="0" vert="horz"/>
          <a:lstStyle/>
          <a:p>
            <a:pPr>
              <a:defRPr sz="1200" b="1" i="0" u="none" strike="noStrike" baseline="0">
                <a:solidFill>
                  <a:srgbClr val="000000"/>
                </a:solidFill>
                <a:latin typeface="Calibri"/>
                <a:ea typeface="Calibri"/>
                <a:cs typeface="Calibri"/>
              </a:defRPr>
            </a:pPr>
            <a:endParaRPr lang="en-US"/>
          </a:p>
        </c:txPr>
        <c:crossAx val="611517952"/>
        <c:crosses val="autoZero"/>
        <c:crossBetween val="between"/>
      </c:valAx>
      <c:spPr>
        <a:solidFill>
          <a:srgbClr val="FFFFFF"/>
        </a:solidFill>
        <a:ln w="25400">
          <a:noFill/>
        </a:ln>
      </c:spPr>
    </c:plotArea>
    <c:plotVisOnly val="1"/>
    <c:dispBlanksAs val="gap"/>
    <c:showDLblsOverMax val="0"/>
  </c:chart>
  <c:spPr>
    <a:solidFill>
      <a:srgbClr val="FFFFFF"/>
    </a:solidFill>
    <a:ln w="12700">
      <a:solidFill>
        <a:srgbClr val="878787"/>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1180555555555551" footer="0.51180555555555551"/>
    <c:pageSetup firstPageNumber="0"/>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n-US"/>
              <a:t>15 Year Cash Flow</a:t>
            </a:r>
          </a:p>
        </c:rich>
      </c:tx>
      <c:layout>
        <c:manualLayout>
          <c:xMode val="edge"/>
          <c:yMode val="edge"/>
          <c:x val="0.38789075001988388"/>
          <c:y val="3.0304090776531723E-2"/>
        </c:manualLayout>
      </c:layout>
      <c:overlay val="0"/>
      <c:spPr>
        <a:noFill/>
        <a:ln w="25400">
          <a:noFill/>
        </a:ln>
      </c:spPr>
    </c:title>
    <c:autoTitleDeleted val="0"/>
    <c:plotArea>
      <c:layout>
        <c:manualLayout>
          <c:layoutTarget val="inner"/>
          <c:xMode val="edge"/>
          <c:yMode val="edge"/>
          <c:x val="4.9698494341041281E-2"/>
          <c:y val="0.37981015608237911"/>
          <c:w val="0.93093765009560248"/>
          <c:h val="0.51314776406874629"/>
        </c:manualLayout>
      </c:layout>
      <c:barChart>
        <c:barDir val="col"/>
        <c:grouping val="clustered"/>
        <c:varyColors val="0"/>
        <c:ser>
          <c:idx val="0"/>
          <c:order val="0"/>
          <c:spPr>
            <a:solidFill>
              <a:srgbClr val="4F81BD"/>
            </a:solidFill>
            <a:ln w="25400">
              <a:noFill/>
            </a:ln>
          </c:spPr>
          <c:invertIfNegative val="0"/>
          <c:dPt>
            <c:idx val="0"/>
            <c:invertIfNegative val="0"/>
            <c:bubble3D val="0"/>
            <c:spPr>
              <a:solidFill>
                <a:srgbClr val="FF0000"/>
              </a:solidFill>
              <a:ln w="25400">
                <a:noFill/>
              </a:ln>
            </c:spPr>
            <c:extLst>
              <c:ext xmlns:c16="http://schemas.microsoft.com/office/drawing/2014/chart" uri="{C3380CC4-5D6E-409C-BE32-E72D297353CC}">
                <c16:uniqueId val="{00000001-BFF9-4F35-9F38-5995E7F777B8}"/>
              </c:ext>
            </c:extLst>
          </c:dPt>
          <c:dPt>
            <c:idx val="1"/>
            <c:invertIfNegative val="0"/>
            <c:bubble3D val="0"/>
            <c:spPr>
              <a:solidFill>
                <a:srgbClr val="8064A2"/>
              </a:solidFill>
              <a:ln w="25400">
                <a:noFill/>
              </a:ln>
            </c:spPr>
            <c:extLst>
              <c:ext xmlns:c16="http://schemas.microsoft.com/office/drawing/2014/chart" uri="{C3380CC4-5D6E-409C-BE32-E72D297353CC}">
                <c16:uniqueId val="{00000003-BFF9-4F35-9F38-5995E7F777B8}"/>
              </c:ext>
            </c:extLst>
          </c:dPt>
          <c:dPt>
            <c:idx val="3"/>
            <c:invertIfNegative val="0"/>
            <c:bubble3D val="0"/>
            <c:spPr>
              <a:solidFill>
                <a:srgbClr val="00B050"/>
              </a:solidFill>
              <a:ln w="25400">
                <a:noFill/>
              </a:ln>
            </c:spPr>
            <c:extLst>
              <c:ext xmlns:c16="http://schemas.microsoft.com/office/drawing/2014/chart" uri="{C3380CC4-5D6E-409C-BE32-E72D297353CC}">
                <c16:uniqueId val="{00000005-BFF9-4F35-9F38-5995E7F777B8}"/>
              </c:ext>
            </c:extLst>
          </c:dPt>
          <c:dLbls>
            <c:spPr>
              <a:noFill/>
              <a:ln w="25400">
                <a:noFill/>
              </a:ln>
            </c:spPr>
            <c:txPr>
              <a:bodyPr/>
              <a:lstStyle/>
              <a:p>
                <a:pPr>
                  <a:defRPr sz="1400" b="1" i="0" u="none" strike="noStrike" baseline="0">
                    <a:solidFill>
                      <a:srgbClr val="000000"/>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Report!$H$79:$H$82</c:f>
              <c:strCache>
                <c:ptCount val="4"/>
                <c:pt idx="0">
                  <c:v>Year 1</c:v>
                </c:pt>
                <c:pt idx="1">
                  <c:v>Year 5</c:v>
                </c:pt>
                <c:pt idx="2">
                  <c:v>Year 10</c:v>
                </c:pt>
                <c:pt idx="3">
                  <c:v>Year 15</c:v>
                </c:pt>
              </c:strCache>
            </c:strRef>
          </c:cat>
          <c:val>
            <c:numRef>
              <c:f>Report!$J$79:$J$82</c:f>
              <c:numCache>
                <c:formatCode>\$#,##0</c:formatCode>
                <c:ptCount val="4"/>
                <c:pt idx="0">
                  <c:v>0</c:v>
                </c:pt>
                <c:pt idx="1">
                  <c:v>0</c:v>
                </c:pt>
                <c:pt idx="2">
                  <c:v>0</c:v>
                </c:pt>
                <c:pt idx="3">
                  <c:v>0</c:v>
                </c:pt>
              </c:numCache>
            </c:numRef>
          </c:val>
          <c:extLst>
            <c:ext xmlns:c16="http://schemas.microsoft.com/office/drawing/2014/chart" uri="{C3380CC4-5D6E-409C-BE32-E72D297353CC}">
              <c16:uniqueId val="{00000006-BFF9-4F35-9F38-5995E7F777B8}"/>
            </c:ext>
          </c:extLst>
        </c:ser>
        <c:dLbls>
          <c:showLegendKey val="0"/>
          <c:showVal val="0"/>
          <c:showCatName val="0"/>
          <c:showSerName val="0"/>
          <c:showPercent val="0"/>
          <c:showBubbleSize val="0"/>
        </c:dLbls>
        <c:gapWidth val="20"/>
        <c:overlap val="100"/>
        <c:axId val="611520000"/>
        <c:axId val="611848128"/>
      </c:barChart>
      <c:catAx>
        <c:axId val="611520000"/>
        <c:scaling>
          <c:orientation val="minMax"/>
        </c:scaling>
        <c:delete val="0"/>
        <c:axPos val="b"/>
        <c:numFmt formatCode="General" sourceLinked="1"/>
        <c:majorTickMark val="out"/>
        <c:minorTickMark val="none"/>
        <c:tickLblPos val="nextTo"/>
        <c:spPr>
          <a:ln w="12700">
            <a:solidFill>
              <a:srgbClr val="878787"/>
            </a:solidFill>
            <a:prstDash val="solid"/>
          </a:ln>
        </c:spPr>
        <c:txPr>
          <a:bodyPr rot="0" vert="horz"/>
          <a:lstStyle/>
          <a:p>
            <a:pPr>
              <a:defRPr sz="1200" b="1" i="0" u="none" strike="noStrike" baseline="0">
                <a:solidFill>
                  <a:srgbClr val="000000"/>
                </a:solidFill>
                <a:latin typeface="Calibri"/>
                <a:ea typeface="Calibri"/>
                <a:cs typeface="Calibri"/>
              </a:defRPr>
            </a:pPr>
            <a:endParaRPr lang="en-US"/>
          </a:p>
        </c:txPr>
        <c:crossAx val="611848128"/>
        <c:crossesAt val="0"/>
        <c:auto val="1"/>
        <c:lblAlgn val="ctr"/>
        <c:lblOffset val="100"/>
        <c:tickLblSkip val="1"/>
        <c:tickMarkSkip val="1"/>
        <c:noMultiLvlLbl val="0"/>
      </c:catAx>
      <c:valAx>
        <c:axId val="611848128"/>
        <c:scaling>
          <c:orientation val="minMax"/>
        </c:scaling>
        <c:delete val="0"/>
        <c:axPos val="l"/>
        <c:majorGridlines>
          <c:spPr>
            <a:ln w="12700">
              <a:solidFill>
                <a:srgbClr val="878787"/>
              </a:solidFill>
              <a:prstDash val="solid"/>
            </a:ln>
          </c:spPr>
        </c:majorGridlines>
        <c:numFmt formatCode="\$#,##0" sourceLinked="1"/>
        <c:majorTickMark val="out"/>
        <c:minorTickMark val="none"/>
        <c:tickLblPos val="nextTo"/>
        <c:spPr>
          <a:ln w="12700">
            <a:solidFill>
              <a:srgbClr val="878787"/>
            </a:solidFill>
            <a:prstDash val="solid"/>
          </a:ln>
        </c:spPr>
        <c:txPr>
          <a:bodyPr rot="0" vert="horz"/>
          <a:lstStyle/>
          <a:p>
            <a:pPr>
              <a:defRPr sz="1000" b="0" i="0" u="none" strike="noStrike" baseline="0">
                <a:solidFill>
                  <a:srgbClr val="000000"/>
                </a:solidFill>
                <a:latin typeface="Calibri"/>
                <a:ea typeface="Calibri"/>
                <a:cs typeface="Calibri"/>
              </a:defRPr>
            </a:pPr>
            <a:endParaRPr lang="en-US"/>
          </a:p>
        </c:txPr>
        <c:crossAx val="611520000"/>
        <c:crosses val="autoZero"/>
        <c:crossBetween val="between"/>
      </c:valAx>
      <c:spPr>
        <a:solidFill>
          <a:srgbClr val="FFFFFF"/>
        </a:solidFill>
        <a:ln w="25400">
          <a:noFill/>
        </a:ln>
      </c:spPr>
    </c:plotArea>
    <c:plotVisOnly val="1"/>
    <c:dispBlanksAs val="gap"/>
    <c:showDLblsOverMax val="0"/>
  </c:chart>
  <c:spPr>
    <a:solidFill>
      <a:srgbClr val="FFFFFF"/>
    </a:solidFill>
    <a:ln w="12700">
      <a:solidFill>
        <a:srgbClr val="878787"/>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1180555555555551" footer="0.51180555555555551"/>
    <c:pageSetup firstPageNumber="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690991644807601"/>
          <c:y val="4.4445882638578994E-2"/>
          <c:w val="0.69093028718033001"/>
          <c:h val="0.81272471110544442"/>
        </c:manualLayout>
      </c:layout>
      <c:barChart>
        <c:barDir val="bar"/>
        <c:grouping val="stacked"/>
        <c:varyColors val="0"/>
        <c:ser>
          <c:idx val="0"/>
          <c:order val="0"/>
          <c:spPr>
            <a:solidFill>
              <a:srgbClr val="00B050"/>
            </a:solidFill>
            <a:ln w="25400">
              <a:noFill/>
            </a:ln>
          </c:spPr>
          <c:invertIfNegative val="0"/>
          <c:dLbls>
            <c:spPr>
              <a:noFill/>
              <a:ln w="25400">
                <a:noFill/>
              </a:ln>
            </c:spPr>
            <c:txPr>
              <a:bodyPr/>
              <a:lstStyle/>
              <a:p>
                <a:pPr>
                  <a:defRPr sz="1400" b="1" i="0" u="none" strike="noStrike" baseline="0">
                    <a:solidFill>
                      <a:srgbClr val="000000"/>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Report!$H$108:$H$112</c:f>
              <c:strCache>
                <c:ptCount val="5"/>
                <c:pt idx="0">
                  <c:v>Acres of Forest               </c:v>
                </c:pt>
                <c:pt idx="1">
                  <c:v>Recyc Tons of Waste               </c:v>
                </c:pt>
                <c:pt idx="2">
                  <c:v>Passenger Vehicles               </c:v>
                </c:pt>
                <c:pt idx="3">
                  <c:v>Homes Worth of Elec               </c:v>
                </c:pt>
                <c:pt idx="4">
                  <c:v>Tanker Trucks of Gas               </c:v>
                </c:pt>
              </c:strCache>
            </c:strRef>
          </c:cat>
          <c:val>
            <c:numRef>
              <c:f>Report!$M$108:$M$112</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0-0A78-4CF3-859C-44687D522CBF}"/>
            </c:ext>
          </c:extLst>
        </c:ser>
        <c:dLbls>
          <c:showLegendKey val="0"/>
          <c:showVal val="0"/>
          <c:showCatName val="0"/>
          <c:showSerName val="0"/>
          <c:showPercent val="0"/>
          <c:showBubbleSize val="0"/>
        </c:dLbls>
        <c:gapWidth val="50"/>
        <c:overlap val="100"/>
        <c:axId val="612835328"/>
        <c:axId val="611849856"/>
      </c:barChart>
      <c:catAx>
        <c:axId val="612835328"/>
        <c:scaling>
          <c:orientation val="minMax"/>
        </c:scaling>
        <c:delete val="0"/>
        <c:axPos val="l"/>
        <c:numFmt formatCode="General" sourceLinked="1"/>
        <c:majorTickMark val="out"/>
        <c:minorTickMark val="none"/>
        <c:tickLblPos val="nextTo"/>
        <c:spPr>
          <a:ln w="12700">
            <a:solidFill>
              <a:srgbClr val="878787"/>
            </a:solidFill>
            <a:prstDash val="solid"/>
          </a:ln>
        </c:spPr>
        <c:txPr>
          <a:bodyPr rot="0" vert="horz"/>
          <a:lstStyle/>
          <a:p>
            <a:pPr>
              <a:defRPr sz="1200" b="1" i="0" u="none" strike="noStrike" baseline="0">
                <a:solidFill>
                  <a:srgbClr val="000000"/>
                </a:solidFill>
                <a:latin typeface="Calibri"/>
                <a:ea typeface="Calibri"/>
                <a:cs typeface="Calibri"/>
              </a:defRPr>
            </a:pPr>
            <a:endParaRPr lang="en-US"/>
          </a:p>
        </c:txPr>
        <c:crossAx val="611849856"/>
        <c:crossesAt val="0"/>
        <c:auto val="1"/>
        <c:lblAlgn val="ctr"/>
        <c:lblOffset val="100"/>
        <c:tickLblSkip val="1"/>
        <c:tickMarkSkip val="1"/>
        <c:noMultiLvlLbl val="0"/>
      </c:catAx>
      <c:valAx>
        <c:axId val="611849856"/>
        <c:scaling>
          <c:orientation val="minMax"/>
        </c:scaling>
        <c:delete val="0"/>
        <c:axPos val="b"/>
        <c:numFmt formatCode="#,##0.0" sourceLinked="1"/>
        <c:majorTickMark val="out"/>
        <c:minorTickMark val="none"/>
        <c:tickLblPos val="nextTo"/>
        <c:spPr>
          <a:ln w="12700">
            <a:solidFill>
              <a:srgbClr val="878787"/>
            </a:solidFill>
            <a:prstDash val="solid"/>
          </a:ln>
        </c:spPr>
        <c:txPr>
          <a:bodyPr rot="0" vert="horz"/>
          <a:lstStyle/>
          <a:p>
            <a:pPr>
              <a:defRPr sz="1000" b="0" i="0" u="none" strike="noStrike" baseline="0">
                <a:solidFill>
                  <a:srgbClr val="000000"/>
                </a:solidFill>
                <a:latin typeface="Calibri"/>
                <a:ea typeface="Calibri"/>
                <a:cs typeface="Calibri"/>
              </a:defRPr>
            </a:pPr>
            <a:endParaRPr lang="en-US"/>
          </a:p>
        </c:txPr>
        <c:crossAx val="612835328"/>
        <c:crosses val="autoZero"/>
        <c:crossBetween val="between"/>
      </c:valAx>
      <c:spPr>
        <a:solidFill>
          <a:srgbClr val="FFFFFF"/>
        </a:solidFill>
        <a:ln w="25400">
          <a:noFill/>
        </a:ln>
      </c:spPr>
    </c:plotArea>
    <c:plotVisOnly val="1"/>
    <c:dispBlanksAs val="gap"/>
    <c:showDLblsOverMax val="0"/>
  </c:chart>
  <c:spPr>
    <a:solidFill>
      <a:srgbClr val="FFFFFF"/>
    </a:solidFill>
    <a:ln w="12700">
      <a:solidFill>
        <a:srgbClr val="878787"/>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1180555555555551" footer="0.51180555555555551"/>
    <c:pageSetup firstPageNumber="0"/>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8" Type="http://schemas.openxmlformats.org/officeDocument/2006/relationships/image" Target="../media/image13.png"/><Relationship Id="rId3" Type="http://schemas.openxmlformats.org/officeDocument/2006/relationships/image" Target="../media/image8.png"/><Relationship Id="rId7" Type="http://schemas.openxmlformats.org/officeDocument/2006/relationships/image" Target="../media/image12.png"/><Relationship Id="rId2" Type="http://schemas.openxmlformats.org/officeDocument/2006/relationships/image" Target="../media/image7.png"/><Relationship Id="rId1" Type="http://schemas.openxmlformats.org/officeDocument/2006/relationships/image" Target="../media/image6.png"/><Relationship Id="rId6" Type="http://schemas.openxmlformats.org/officeDocument/2006/relationships/image" Target="../media/image11.png"/><Relationship Id="rId5" Type="http://schemas.openxmlformats.org/officeDocument/2006/relationships/image" Target="../media/image10.png"/><Relationship Id="rId4" Type="http://schemas.openxmlformats.org/officeDocument/2006/relationships/image" Target="../media/image9.png"/></Relationships>
</file>

<file path=xl/drawings/_rels/drawing4.xml.rels><?xml version="1.0" encoding="UTF-8" standalone="yes"?>
<Relationships xmlns="http://schemas.openxmlformats.org/package/2006/relationships"><Relationship Id="rId8" Type="http://schemas.openxmlformats.org/officeDocument/2006/relationships/image" Target="../media/image18.png"/><Relationship Id="rId3" Type="http://schemas.openxmlformats.org/officeDocument/2006/relationships/chart" Target="../charts/chart3.xml"/><Relationship Id="rId7" Type="http://schemas.openxmlformats.org/officeDocument/2006/relationships/image" Target="../media/image17.pn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6.jpeg"/><Relationship Id="rId5" Type="http://schemas.openxmlformats.org/officeDocument/2006/relationships/image" Target="../media/image15.wmf"/><Relationship Id="rId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0</xdr:col>
      <xdr:colOff>228599</xdr:colOff>
      <xdr:row>8</xdr:row>
      <xdr:rowOff>57151</xdr:rowOff>
    </xdr:from>
    <xdr:to>
      <xdr:col>10</xdr:col>
      <xdr:colOff>578825</xdr:colOff>
      <xdr:row>22</xdr:row>
      <xdr:rowOff>76201</xdr:rowOff>
    </xdr:to>
    <xdr:pic>
      <xdr:nvPicPr>
        <xdr:cNvPr id="2" name="Picture 1" descr="Image result for excel enable macros">
          <a:extLst>
            <a:ext uri="{FF2B5EF4-FFF2-40B4-BE49-F238E27FC236}">
              <a16:creationId xmlns:a16="http://schemas.microsoft.com/office/drawing/2014/main" id="{1D49DC78-63EA-4EE8-B489-57B6B6A2A7E2}"/>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28599" y="1495426"/>
          <a:ext cx="5627076" cy="228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314324</xdr:colOff>
      <xdr:row>29</xdr:row>
      <xdr:rowOff>39853</xdr:rowOff>
    </xdr:from>
    <xdr:to>
      <xdr:col>12</xdr:col>
      <xdr:colOff>129399</xdr:colOff>
      <xdr:row>29</xdr:row>
      <xdr:rowOff>3124200</xdr:rowOff>
    </xdr:to>
    <xdr:pic>
      <xdr:nvPicPr>
        <xdr:cNvPr id="6" name="Picture 5">
          <a:extLst>
            <a:ext uri="{FF2B5EF4-FFF2-40B4-BE49-F238E27FC236}">
              <a16:creationId xmlns:a16="http://schemas.microsoft.com/office/drawing/2014/main" id="{B273DFE6-15E0-499D-A4DB-1820F8827CB0}"/>
            </a:ext>
          </a:extLst>
        </xdr:cNvPr>
        <xdr:cNvPicPr>
          <a:picLocks noChangeAspect="1"/>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314324" y="4840453"/>
          <a:ext cx="6253975" cy="3084347"/>
        </a:xfrm>
        <a:prstGeom prst="rect">
          <a:avLst/>
        </a:prstGeom>
      </xdr:spPr>
    </xdr:pic>
    <xdr:clientData/>
  </xdr:twoCellAnchor>
  <xdr:twoCellAnchor>
    <xdr:from>
      <xdr:col>9</xdr:col>
      <xdr:colOff>178199</xdr:colOff>
      <xdr:row>29</xdr:row>
      <xdr:rowOff>1447214</xdr:rowOff>
    </xdr:from>
    <xdr:to>
      <xdr:col>9</xdr:col>
      <xdr:colOff>347411</xdr:colOff>
      <xdr:row>29</xdr:row>
      <xdr:rowOff>2153433</xdr:rowOff>
    </xdr:to>
    <xdr:sp macro="" textlink="">
      <xdr:nvSpPr>
        <xdr:cNvPr id="7" name="Arrow: Left 6">
          <a:extLst>
            <a:ext uri="{FF2B5EF4-FFF2-40B4-BE49-F238E27FC236}">
              <a16:creationId xmlns:a16="http://schemas.microsoft.com/office/drawing/2014/main" id="{78D23644-03D3-48E0-934A-8612DACCB062}"/>
            </a:ext>
          </a:extLst>
        </xdr:cNvPr>
        <xdr:cNvSpPr/>
      </xdr:nvSpPr>
      <xdr:spPr>
        <a:xfrm rot="3033859">
          <a:off x="4605520" y="6516318"/>
          <a:ext cx="706219" cy="169212"/>
        </a:xfrm>
        <a:prstGeom prst="left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n-US" sz="1100"/>
        </a:p>
      </xdr:txBody>
    </xdr:sp>
    <xdr:clientData/>
  </xdr:twoCellAnchor>
  <xdr:twoCellAnchor>
    <xdr:from>
      <xdr:col>8</xdr:col>
      <xdr:colOff>436346</xdr:colOff>
      <xdr:row>29</xdr:row>
      <xdr:rowOff>935253</xdr:rowOff>
    </xdr:from>
    <xdr:to>
      <xdr:col>9</xdr:col>
      <xdr:colOff>561540</xdr:colOff>
      <xdr:row>29</xdr:row>
      <xdr:rowOff>1104465</xdr:rowOff>
    </xdr:to>
    <xdr:sp macro="" textlink="">
      <xdr:nvSpPr>
        <xdr:cNvPr id="8" name="Arrow: Left 7">
          <a:extLst>
            <a:ext uri="{FF2B5EF4-FFF2-40B4-BE49-F238E27FC236}">
              <a16:creationId xmlns:a16="http://schemas.microsoft.com/office/drawing/2014/main" id="{46F7BCC4-5057-4241-96E3-D53BD9DDC1FD}"/>
            </a:ext>
          </a:extLst>
        </xdr:cNvPr>
        <xdr:cNvSpPr/>
      </xdr:nvSpPr>
      <xdr:spPr>
        <a:xfrm rot="18967493">
          <a:off x="4551146" y="5735853"/>
          <a:ext cx="706219" cy="169212"/>
        </a:xfrm>
        <a:prstGeom prst="left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476248</xdr:colOff>
      <xdr:row>29</xdr:row>
      <xdr:rowOff>1525753</xdr:rowOff>
    </xdr:from>
    <xdr:to>
      <xdr:col>4</xdr:col>
      <xdr:colOff>64435</xdr:colOff>
      <xdr:row>29</xdr:row>
      <xdr:rowOff>2231972</xdr:rowOff>
    </xdr:to>
    <xdr:sp macro="" textlink="">
      <xdr:nvSpPr>
        <xdr:cNvPr id="9" name="Arrow: Left 8">
          <a:extLst>
            <a:ext uri="{FF2B5EF4-FFF2-40B4-BE49-F238E27FC236}">
              <a16:creationId xmlns:a16="http://schemas.microsoft.com/office/drawing/2014/main" id="{FB973EED-5878-4BB0-983D-BC9B5CBD2A16}"/>
            </a:ext>
          </a:extLst>
        </xdr:cNvPr>
        <xdr:cNvSpPr/>
      </xdr:nvSpPr>
      <xdr:spPr>
        <a:xfrm rot="7200000">
          <a:off x="1417419" y="6594857"/>
          <a:ext cx="706219" cy="169212"/>
        </a:xfrm>
        <a:prstGeom prst="left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390523</xdr:colOff>
      <xdr:row>29</xdr:row>
      <xdr:rowOff>630404</xdr:rowOff>
    </xdr:from>
    <xdr:to>
      <xdr:col>3</xdr:col>
      <xdr:colOff>559735</xdr:colOff>
      <xdr:row>29</xdr:row>
      <xdr:rowOff>1336623</xdr:rowOff>
    </xdr:to>
    <xdr:sp macro="" textlink="">
      <xdr:nvSpPr>
        <xdr:cNvPr id="10" name="Arrow: Left 9">
          <a:extLst>
            <a:ext uri="{FF2B5EF4-FFF2-40B4-BE49-F238E27FC236}">
              <a16:creationId xmlns:a16="http://schemas.microsoft.com/office/drawing/2014/main" id="{3FF08C33-5317-4B68-80B1-FAB3204FAC7F}"/>
            </a:ext>
          </a:extLst>
        </xdr:cNvPr>
        <xdr:cNvSpPr/>
      </xdr:nvSpPr>
      <xdr:spPr>
        <a:xfrm rot="13500000">
          <a:off x="1331694" y="5699508"/>
          <a:ext cx="706219" cy="169212"/>
        </a:xfrm>
        <a:prstGeom prst="left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0</xdr:col>
      <xdr:colOff>304800</xdr:colOff>
      <xdr:row>39</xdr:row>
      <xdr:rowOff>66675</xdr:rowOff>
    </xdr:from>
    <xdr:to>
      <xdr:col>16</xdr:col>
      <xdr:colOff>37031</xdr:colOff>
      <xdr:row>39</xdr:row>
      <xdr:rowOff>1295246</xdr:rowOff>
    </xdr:to>
    <xdr:pic>
      <xdr:nvPicPr>
        <xdr:cNvPr id="11" name="Picture 10">
          <a:extLst>
            <a:ext uri="{FF2B5EF4-FFF2-40B4-BE49-F238E27FC236}">
              <a16:creationId xmlns:a16="http://schemas.microsoft.com/office/drawing/2014/main" id="{C74927A4-CE63-4699-83E9-716D436CD439}"/>
            </a:ext>
          </a:extLst>
        </xdr:cNvPr>
        <xdr:cNvPicPr>
          <a:picLocks noChangeAspect="1"/>
        </xdr:cNvPicPr>
      </xdr:nvPicPr>
      <xdr:blipFill>
        <a:blip xmlns:r="http://schemas.openxmlformats.org/officeDocument/2006/relationships" r:embed="rId3"/>
        <a:stretch>
          <a:fillRect/>
        </a:stretch>
      </xdr:blipFill>
      <xdr:spPr>
        <a:xfrm>
          <a:off x="304800" y="9382125"/>
          <a:ext cx="8552381" cy="1228571"/>
        </a:xfrm>
        <a:prstGeom prst="rect">
          <a:avLst/>
        </a:prstGeom>
      </xdr:spPr>
    </xdr:pic>
    <xdr:clientData/>
  </xdr:twoCellAnchor>
  <xdr:twoCellAnchor>
    <xdr:from>
      <xdr:col>1</xdr:col>
      <xdr:colOff>304800</xdr:colOff>
      <xdr:row>39</xdr:row>
      <xdr:rowOff>104775</xdr:rowOff>
    </xdr:from>
    <xdr:to>
      <xdr:col>2</xdr:col>
      <xdr:colOff>266700</xdr:colOff>
      <xdr:row>39</xdr:row>
      <xdr:rowOff>447675</xdr:rowOff>
    </xdr:to>
    <xdr:sp macro="" textlink="">
      <xdr:nvSpPr>
        <xdr:cNvPr id="12" name="TextBox 11">
          <a:extLst>
            <a:ext uri="{FF2B5EF4-FFF2-40B4-BE49-F238E27FC236}">
              <a16:creationId xmlns:a16="http://schemas.microsoft.com/office/drawing/2014/main" id="{15630292-446F-4B0B-B639-6F34EA8FB615}"/>
            </a:ext>
          </a:extLst>
        </xdr:cNvPr>
        <xdr:cNvSpPr txBox="1"/>
      </xdr:nvSpPr>
      <xdr:spPr>
        <a:xfrm>
          <a:off x="619125" y="9420225"/>
          <a:ext cx="276225"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solidFill>
                <a:srgbClr val="FF0000"/>
              </a:solidFill>
            </a:rPr>
            <a:t>1</a:t>
          </a:r>
        </a:p>
      </xdr:txBody>
    </xdr:sp>
    <xdr:clientData/>
  </xdr:twoCellAnchor>
  <xdr:twoCellAnchor>
    <xdr:from>
      <xdr:col>3</xdr:col>
      <xdr:colOff>342900</xdr:colOff>
      <xdr:row>39</xdr:row>
      <xdr:rowOff>85725</xdr:rowOff>
    </xdr:from>
    <xdr:to>
      <xdr:col>4</xdr:col>
      <xdr:colOff>38100</xdr:colOff>
      <xdr:row>39</xdr:row>
      <xdr:rowOff>428625</xdr:rowOff>
    </xdr:to>
    <xdr:sp macro="" textlink="">
      <xdr:nvSpPr>
        <xdr:cNvPr id="13" name="TextBox 12">
          <a:extLst>
            <a:ext uri="{FF2B5EF4-FFF2-40B4-BE49-F238E27FC236}">
              <a16:creationId xmlns:a16="http://schemas.microsoft.com/office/drawing/2014/main" id="{6A79F3D4-F309-46F4-AF53-7DAF399F2DFF}"/>
            </a:ext>
          </a:extLst>
        </xdr:cNvPr>
        <xdr:cNvSpPr txBox="1"/>
      </xdr:nvSpPr>
      <xdr:spPr>
        <a:xfrm>
          <a:off x="1552575" y="9401175"/>
          <a:ext cx="276225"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solidFill>
                <a:srgbClr val="FF0000"/>
              </a:solidFill>
            </a:rPr>
            <a:t>2</a:t>
          </a:r>
        </a:p>
      </xdr:txBody>
    </xdr:sp>
    <xdr:clientData/>
  </xdr:twoCellAnchor>
  <xdr:twoCellAnchor>
    <xdr:from>
      <xdr:col>7</xdr:col>
      <xdr:colOff>457200</xdr:colOff>
      <xdr:row>39</xdr:row>
      <xdr:rowOff>38100</xdr:rowOff>
    </xdr:from>
    <xdr:to>
      <xdr:col>8</xdr:col>
      <xdr:colOff>152400</xdr:colOff>
      <xdr:row>39</xdr:row>
      <xdr:rowOff>381000</xdr:rowOff>
    </xdr:to>
    <xdr:sp macro="" textlink="">
      <xdr:nvSpPr>
        <xdr:cNvPr id="14" name="TextBox 13">
          <a:extLst>
            <a:ext uri="{FF2B5EF4-FFF2-40B4-BE49-F238E27FC236}">
              <a16:creationId xmlns:a16="http://schemas.microsoft.com/office/drawing/2014/main" id="{944ECFB8-F91E-4931-AF21-EF0A9791D877}"/>
            </a:ext>
          </a:extLst>
        </xdr:cNvPr>
        <xdr:cNvSpPr txBox="1"/>
      </xdr:nvSpPr>
      <xdr:spPr>
        <a:xfrm>
          <a:off x="3990975" y="9353550"/>
          <a:ext cx="276225"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solidFill>
                <a:srgbClr val="FF0000"/>
              </a:solidFill>
            </a:rPr>
            <a:t>3</a:t>
          </a:r>
        </a:p>
      </xdr:txBody>
    </xdr:sp>
    <xdr:clientData/>
  </xdr:twoCellAnchor>
  <xdr:twoCellAnchor editAs="oneCell">
    <xdr:from>
      <xdr:col>0</xdr:col>
      <xdr:colOff>180975</xdr:colOff>
      <xdr:row>50</xdr:row>
      <xdr:rowOff>66675</xdr:rowOff>
    </xdr:from>
    <xdr:to>
      <xdr:col>24</xdr:col>
      <xdr:colOff>607834</xdr:colOff>
      <xdr:row>50</xdr:row>
      <xdr:rowOff>1285723</xdr:rowOff>
    </xdr:to>
    <xdr:pic>
      <xdr:nvPicPr>
        <xdr:cNvPr id="15" name="Picture 14">
          <a:extLst>
            <a:ext uri="{FF2B5EF4-FFF2-40B4-BE49-F238E27FC236}">
              <a16:creationId xmlns:a16="http://schemas.microsoft.com/office/drawing/2014/main" id="{2C440A5E-2A97-49B5-B699-04F5D5DB2666}"/>
            </a:ext>
          </a:extLst>
        </xdr:cNvPr>
        <xdr:cNvPicPr>
          <a:picLocks noChangeAspect="1"/>
        </xdr:cNvPicPr>
      </xdr:nvPicPr>
      <xdr:blipFill>
        <a:blip xmlns:r="http://schemas.openxmlformats.org/officeDocument/2006/relationships" r:embed="rId4"/>
        <a:stretch>
          <a:fillRect/>
        </a:stretch>
      </xdr:blipFill>
      <xdr:spPr>
        <a:xfrm>
          <a:off x="180975" y="12468225"/>
          <a:ext cx="14123809" cy="1219048"/>
        </a:xfrm>
        <a:prstGeom prst="rect">
          <a:avLst/>
        </a:prstGeom>
      </xdr:spPr>
    </xdr:pic>
    <xdr:clientData/>
  </xdr:twoCellAnchor>
  <xdr:twoCellAnchor>
    <xdr:from>
      <xdr:col>4</xdr:col>
      <xdr:colOff>19050</xdr:colOff>
      <xdr:row>50</xdr:row>
      <xdr:rowOff>19050</xdr:rowOff>
    </xdr:from>
    <xdr:to>
      <xdr:col>4</xdr:col>
      <xdr:colOff>295275</xdr:colOff>
      <xdr:row>51</xdr:row>
      <xdr:rowOff>0</xdr:rowOff>
    </xdr:to>
    <xdr:sp macro="" textlink="">
      <xdr:nvSpPr>
        <xdr:cNvPr id="16" name="TextBox 15">
          <a:extLst>
            <a:ext uri="{FF2B5EF4-FFF2-40B4-BE49-F238E27FC236}">
              <a16:creationId xmlns:a16="http://schemas.microsoft.com/office/drawing/2014/main" id="{A02E2608-FA15-4B4E-BD9D-C8CE284FC828}"/>
            </a:ext>
          </a:extLst>
        </xdr:cNvPr>
        <xdr:cNvSpPr txBox="1"/>
      </xdr:nvSpPr>
      <xdr:spPr>
        <a:xfrm>
          <a:off x="1809750" y="12420600"/>
          <a:ext cx="276225" cy="1343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solidFill>
                <a:srgbClr val="FF0000"/>
              </a:solidFill>
            </a:rPr>
            <a:t>4</a:t>
          </a:r>
        </a:p>
      </xdr:txBody>
    </xdr:sp>
    <xdr:clientData/>
  </xdr:twoCellAnchor>
  <xdr:twoCellAnchor>
    <xdr:from>
      <xdr:col>12</xdr:col>
      <xdr:colOff>9525</xdr:colOff>
      <xdr:row>50</xdr:row>
      <xdr:rowOff>0</xdr:rowOff>
    </xdr:from>
    <xdr:to>
      <xdr:col>12</xdr:col>
      <xdr:colOff>438151</xdr:colOff>
      <xdr:row>50</xdr:row>
      <xdr:rowOff>400050</xdr:rowOff>
    </xdr:to>
    <xdr:sp macro="" textlink="">
      <xdr:nvSpPr>
        <xdr:cNvPr id="17" name="TextBox 16">
          <a:extLst>
            <a:ext uri="{FF2B5EF4-FFF2-40B4-BE49-F238E27FC236}">
              <a16:creationId xmlns:a16="http://schemas.microsoft.com/office/drawing/2014/main" id="{27FE407A-115A-4D96-9040-7AD0340A8ABB}"/>
            </a:ext>
          </a:extLst>
        </xdr:cNvPr>
        <xdr:cNvSpPr txBox="1"/>
      </xdr:nvSpPr>
      <xdr:spPr>
        <a:xfrm>
          <a:off x="6448425" y="12401550"/>
          <a:ext cx="428626" cy="4000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solidFill>
                <a:srgbClr val="FF0000"/>
              </a:solidFill>
            </a:rPr>
            <a:t>4a</a:t>
          </a:r>
        </a:p>
      </xdr:txBody>
    </xdr:sp>
    <xdr:clientData/>
  </xdr:twoCellAnchor>
  <xdr:twoCellAnchor>
    <xdr:from>
      <xdr:col>16</xdr:col>
      <xdr:colOff>123825</xdr:colOff>
      <xdr:row>50</xdr:row>
      <xdr:rowOff>28575</xdr:rowOff>
    </xdr:from>
    <xdr:to>
      <xdr:col>16</xdr:col>
      <xdr:colOff>523875</xdr:colOff>
      <xdr:row>50</xdr:row>
      <xdr:rowOff>438150</xdr:rowOff>
    </xdr:to>
    <xdr:sp macro="" textlink="">
      <xdr:nvSpPr>
        <xdr:cNvPr id="18" name="TextBox 17">
          <a:extLst>
            <a:ext uri="{FF2B5EF4-FFF2-40B4-BE49-F238E27FC236}">
              <a16:creationId xmlns:a16="http://schemas.microsoft.com/office/drawing/2014/main" id="{424DFAB0-CDB8-4A8D-A56F-C3AF58882710}"/>
            </a:ext>
          </a:extLst>
        </xdr:cNvPr>
        <xdr:cNvSpPr txBox="1"/>
      </xdr:nvSpPr>
      <xdr:spPr>
        <a:xfrm>
          <a:off x="8943975" y="12430125"/>
          <a:ext cx="400050" cy="409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solidFill>
                <a:srgbClr val="FF0000"/>
              </a:solidFill>
            </a:rPr>
            <a:t>4b</a:t>
          </a:r>
        </a:p>
      </xdr:txBody>
    </xdr:sp>
    <xdr:clientData/>
  </xdr:twoCellAnchor>
  <xdr:twoCellAnchor>
    <xdr:from>
      <xdr:col>17</xdr:col>
      <xdr:colOff>142875</xdr:colOff>
      <xdr:row>50</xdr:row>
      <xdr:rowOff>19051</xdr:rowOff>
    </xdr:from>
    <xdr:to>
      <xdr:col>17</xdr:col>
      <xdr:colOff>561975</xdr:colOff>
      <xdr:row>50</xdr:row>
      <xdr:rowOff>457201</xdr:rowOff>
    </xdr:to>
    <xdr:sp macro="" textlink="">
      <xdr:nvSpPr>
        <xdr:cNvPr id="19" name="TextBox 18">
          <a:extLst>
            <a:ext uri="{FF2B5EF4-FFF2-40B4-BE49-F238E27FC236}">
              <a16:creationId xmlns:a16="http://schemas.microsoft.com/office/drawing/2014/main" id="{0BD5A4D4-2B34-4DAB-8881-3E4C2055DF63}"/>
            </a:ext>
          </a:extLst>
        </xdr:cNvPr>
        <xdr:cNvSpPr txBox="1"/>
      </xdr:nvSpPr>
      <xdr:spPr>
        <a:xfrm>
          <a:off x="9572625" y="12420601"/>
          <a:ext cx="419100" cy="43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solidFill>
                <a:srgbClr val="FF0000"/>
              </a:solidFill>
            </a:rPr>
            <a:t>4c</a:t>
          </a:r>
        </a:p>
      </xdr:txBody>
    </xdr:sp>
    <xdr:clientData/>
  </xdr:twoCellAnchor>
  <xdr:twoCellAnchor>
    <xdr:from>
      <xdr:col>18</xdr:col>
      <xdr:colOff>95250</xdr:colOff>
      <xdr:row>50</xdr:row>
      <xdr:rowOff>19050</xdr:rowOff>
    </xdr:from>
    <xdr:to>
      <xdr:col>18</xdr:col>
      <xdr:colOff>523875</xdr:colOff>
      <xdr:row>50</xdr:row>
      <xdr:rowOff>428625</xdr:rowOff>
    </xdr:to>
    <xdr:sp macro="" textlink="">
      <xdr:nvSpPr>
        <xdr:cNvPr id="20" name="TextBox 19">
          <a:extLst>
            <a:ext uri="{FF2B5EF4-FFF2-40B4-BE49-F238E27FC236}">
              <a16:creationId xmlns:a16="http://schemas.microsoft.com/office/drawing/2014/main" id="{60AC6409-2C5F-4224-9A18-032040316F57}"/>
            </a:ext>
          </a:extLst>
        </xdr:cNvPr>
        <xdr:cNvSpPr txBox="1"/>
      </xdr:nvSpPr>
      <xdr:spPr>
        <a:xfrm>
          <a:off x="10134600" y="12420600"/>
          <a:ext cx="428625" cy="409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solidFill>
                <a:srgbClr val="FF0000"/>
              </a:solidFill>
            </a:rPr>
            <a:t>4d</a:t>
          </a:r>
        </a:p>
      </xdr:txBody>
    </xdr:sp>
    <xdr:clientData/>
  </xdr:twoCellAnchor>
  <xdr:twoCellAnchor>
    <xdr:from>
      <xdr:col>20</xdr:col>
      <xdr:colOff>190500</xdr:colOff>
      <xdr:row>50</xdr:row>
      <xdr:rowOff>19050</xdr:rowOff>
    </xdr:from>
    <xdr:to>
      <xdr:col>21</xdr:col>
      <xdr:colOff>9525</xdr:colOff>
      <xdr:row>50</xdr:row>
      <xdr:rowOff>400050</xdr:rowOff>
    </xdr:to>
    <xdr:sp macro="" textlink="">
      <xdr:nvSpPr>
        <xdr:cNvPr id="21" name="TextBox 20">
          <a:extLst>
            <a:ext uri="{FF2B5EF4-FFF2-40B4-BE49-F238E27FC236}">
              <a16:creationId xmlns:a16="http://schemas.microsoft.com/office/drawing/2014/main" id="{34727C42-DBB4-4114-8204-F184366DEEFA}"/>
            </a:ext>
          </a:extLst>
        </xdr:cNvPr>
        <xdr:cNvSpPr txBox="1"/>
      </xdr:nvSpPr>
      <xdr:spPr>
        <a:xfrm>
          <a:off x="11449050" y="12420600"/>
          <a:ext cx="428625" cy="381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solidFill>
                <a:srgbClr val="FF0000"/>
              </a:solidFill>
            </a:rPr>
            <a:t>4e</a:t>
          </a:r>
        </a:p>
      </xdr:txBody>
    </xdr:sp>
    <xdr:clientData/>
  </xdr:twoCellAnchor>
  <xdr:twoCellAnchor>
    <xdr:from>
      <xdr:col>22</xdr:col>
      <xdr:colOff>542925</xdr:colOff>
      <xdr:row>50</xdr:row>
      <xdr:rowOff>19050</xdr:rowOff>
    </xdr:from>
    <xdr:to>
      <xdr:col>23</xdr:col>
      <xdr:colOff>304800</xdr:colOff>
      <xdr:row>50</xdr:row>
      <xdr:rowOff>381000</xdr:rowOff>
    </xdr:to>
    <xdr:sp macro="" textlink="">
      <xdr:nvSpPr>
        <xdr:cNvPr id="22" name="TextBox 21">
          <a:extLst>
            <a:ext uri="{FF2B5EF4-FFF2-40B4-BE49-F238E27FC236}">
              <a16:creationId xmlns:a16="http://schemas.microsoft.com/office/drawing/2014/main" id="{D8147192-A9D2-4828-959C-A73300D8D948}"/>
            </a:ext>
          </a:extLst>
        </xdr:cNvPr>
        <xdr:cNvSpPr txBox="1"/>
      </xdr:nvSpPr>
      <xdr:spPr>
        <a:xfrm>
          <a:off x="13020675" y="12420600"/>
          <a:ext cx="371475" cy="361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solidFill>
                <a:srgbClr val="FF0000"/>
              </a:solidFill>
            </a:rPr>
            <a:t>4f</a:t>
          </a:r>
        </a:p>
      </xdr:txBody>
    </xdr:sp>
    <xdr:clientData/>
  </xdr:twoCellAnchor>
  <xdr:twoCellAnchor>
    <xdr:from>
      <xdr:col>24</xdr:col>
      <xdr:colOff>180975</xdr:colOff>
      <xdr:row>50</xdr:row>
      <xdr:rowOff>9525</xdr:rowOff>
    </xdr:from>
    <xdr:to>
      <xdr:col>24</xdr:col>
      <xdr:colOff>600075</xdr:colOff>
      <xdr:row>50</xdr:row>
      <xdr:rowOff>342900</xdr:rowOff>
    </xdr:to>
    <xdr:sp macro="" textlink="">
      <xdr:nvSpPr>
        <xdr:cNvPr id="23" name="TextBox 22">
          <a:extLst>
            <a:ext uri="{FF2B5EF4-FFF2-40B4-BE49-F238E27FC236}">
              <a16:creationId xmlns:a16="http://schemas.microsoft.com/office/drawing/2014/main" id="{E0494A88-E00F-4C91-8448-CD2222B31F00}"/>
            </a:ext>
          </a:extLst>
        </xdr:cNvPr>
        <xdr:cNvSpPr txBox="1"/>
      </xdr:nvSpPr>
      <xdr:spPr>
        <a:xfrm>
          <a:off x="13877925" y="12411075"/>
          <a:ext cx="419100" cy="333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solidFill>
                <a:srgbClr val="FF0000"/>
              </a:solidFill>
            </a:rPr>
            <a:t>4g</a:t>
          </a:r>
        </a:p>
      </xdr:txBody>
    </xdr:sp>
    <xdr:clientData/>
  </xdr:twoCellAnchor>
  <xdr:twoCellAnchor>
    <xdr:from>
      <xdr:col>9</xdr:col>
      <xdr:colOff>428625</xdr:colOff>
      <xdr:row>39</xdr:row>
      <xdr:rowOff>19050</xdr:rowOff>
    </xdr:from>
    <xdr:to>
      <xdr:col>10</xdr:col>
      <xdr:colOff>247650</xdr:colOff>
      <xdr:row>39</xdr:row>
      <xdr:rowOff>428625</xdr:rowOff>
    </xdr:to>
    <xdr:sp macro="" textlink="">
      <xdr:nvSpPr>
        <xdr:cNvPr id="24" name="TextBox 23">
          <a:extLst>
            <a:ext uri="{FF2B5EF4-FFF2-40B4-BE49-F238E27FC236}">
              <a16:creationId xmlns:a16="http://schemas.microsoft.com/office/drawing/2014/main" id="{CEBB8956-3D24-413D-98A6-B74F72008935}"/>
            </a:ext>
          </a:extLst>
        </xdr:cNvPr>
        <xdr:cNvSpPr txBox="1"/>
      </xdr:nvSpPr>
      <xdr:spPr>
        <a:xfrm>
          <a:off x="5124450" y="9334500"/>
          <a:ext cx="400050" cy="409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solidFill>
                <a:srgbClr val="FF0000"/>
              </a:solidFill>
            </a:rPr>
            <a:t>3a</a:t>
          </a:r>
        </a:p>
      </xdr:txBody>
    </xdr:sp>
    <xdr:clientData/>
  </xdr:twoCellAnchor>
  <xdr:twoCellAnchor>
    <xdr:from>
      <xdr:col>13</xdr:col>
      <xdr:colOff>342900</xdr:colOff>
      <xdr:row>39</xdr:row>
      <xdr:rowOff>38101</xdr:rowOff>
    </xdr:from>
    <xdr:to>
      <xdr:col>14</xdr:col>
      <xdr:colOff>180975</xdr:colOff>
      <xdr:row>39</xdr:row>
      <xdr:rowOff>381001</xdr:rowOff>
    </xdr:to>
    <xdr:sp macro="" textlink="">
      <xdr:nvSpPr>
        <xdr:cNvPr id="25" name="TextBox 24">
          <a:extLst>
            <a:ext uri="{FF2B5EF4-FFF2-40B4-BE49-F238E27FC236}">
              <a16:creationId xmlns:a16="http://schemas.microsoft.com/office/drawing/2014/main" id="{A847F44C-ED26-437C-A383-F70BD00EB29D}"/>
            </a:ext>
          </a:extLst>
        </xdr:cNvPr>
        <xdr:cNvSpPr txBox="1"/>
      </xdr:nvSpPr>
      <xdr:spPr>
        <a:xfrm>
          <a:off x="7362825" y="9353551"/>
          <a:ext cx="419100"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solidFill>
                <a:srgbClr val="FF0000"/>
              </a:solidFill>
            </a:rPr>
            <a:t>3b</a:t>
          </a:r>
        </a:p>
      </xdr:txBody>
    </xdr:sp>
    <xdr:clientData/>
  </xdr:twoCellAnchor>
  <xdr:twoCellAnchor>
    <xdr:from>
      <xdr:col>14</xdr:col>
      <xdr:colOff>342900</xdr:colOff>
      <xdr:row>39</xdr:row>
      <xdr:rowOff>28575</xdr:rowOff>
    </xdr:from>
    <xdr:to>
      <xdr:col>15</xdr:col>
      <xdr:colOff>114300</xdr:colOff>
      <xdr:row>39</xdr:row>
      <xdr:rowOff>361950</xdr:rowOff>
    </xdr:to>
    <xdr:sp macro="" textlink="">
      <xdr:nvSpPr>
        <xdr:cNvPr id="26" name="TextBox 25">
          <a:extLst>
            <a:ext uri="{FF2B5EF4-FFF2-40B4-BE49-F238E27FC236}">
              <a16:creationId xmlns:a16="http://schemas.microsoft.com/office/drawing/2014/main" id="{37303D14-0FC4-4A68-AD49-83879CC7A809}"/>
            </a:ext>
          </a:extLst>
        </xdr:cNvPr>
        <xdr:cNvSpPr txBox="1"/>
      </xdr:nvSpPr>
      <xdr:spPr>
        <a:xfrm>
          <a:off x="7943850" y="9344025"/>
          <a:ext cx="381000" cy="333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solidFill>
                <a:srgbClr val="FF0000"/>
              </a:solidFill>
            </a:rPr>
            <a:t>3c</a:t>
          </a:r>
        </a:p>
      </xdr:txBody>
    </xdr:sp>
    <xdr:clientData/>
  </xdr:twoCellAnchor>
  <xdr:twoCellAnchor>
    <xdr:from>
      <xdr:col>15</xdr:col>
      <xdr:colOff>133350</xdr:colOff>
      <xdr:row>39</xdr:row>
      <xdr:rowOff>38100</xdr:rowOff>
    </xdr:from>
    <xdr:to>
      <xdr:col>15</xdr:col>
      <xdr:colOff>571499</xdr:colOff>
      <xdr:row>39</xdr:row>
      <xdr:rowOff>400050</xdr:rowOff>
    </xdr:to>
    <xdr:sp macro="" textlink="">
      <xdr:nvSpPr>
        <xdr:cNvPr id="27" name="TextBox 26">
          <a:extLst>
            <a:ext uri="{FF2B5EF4-FFF2-40B4-BE49-F238E27FC236}">
              <a16:creationId xmlns:a16="http://schemas.microsoft.com/office/drawing/2014/main" id="{C64275F3-1C54-4BC2-874F-E9D4EDE9C160}"/>
            </a:ext>
          </a:extLst>
        </xdr:cNvPr>
        <xdr:cNvSpPr txBox="1"/>
      </xdr:nvSpPr>
      <xdr:spPr>
        <a:xfrm>
          <a:off x="8343900" y="9353550"/>
          <a:ext cx="438149" cy="361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solidFill>
                <a:srgbClr val="FF0000"/>
              </a:solidFill>
            </a:rPr>
            <a:t>3d</a:t>
          </a:r>
        </a:p>
      </xdr:txBody>
    </xdr:sp>
    <xdr:clientData/>
  </xdr:twoCellAnchor>
  <xdr:twoCellAnchor editAs="oneCell">
    <xdr:from>
      <xdr:col>1</xdr:col>
      <xdr:colOff>161925</xdr:colOff>
      <xdr:row>71</xdr:row>
      <xdr:rowOff>9525</xdr:rowOff>
    </xdr:from>
    <xdr:to>
      <xdr:col>5</xdr:col>
      <xdr:colOff>345518</xdr:colOff>
      <xdr:row>71</xdr:row>
      <xdr:rowOff>1143000</xdr:rowOff>
    </xdr:to>
    <xdr:pic>
      <xdr:nvPicPr>
        <xdr:cNvPr id="3" name="Picture 2">
          <a:extLst>
            <a:ext uri="{FF2B5EF4-FFF2-40B4-BE49-F238E27FC236}">
              <a16:creationId xmlns:a16="http://schemas.microsoft.com/office/drawing/2014/main" id="{8F06A171-146A-4B54-928D-342CD9C49A74}"/>
            </a:ext>
          </a:extLst>
        </xdr:cNvPr>
        <xdr:cNvPicPr>
          <a:picLocks noChangeAspect="1"/>
        </xdr:cNvPicPr>
      </xdr:nvPicPr>
      <xdr:blipFill>
        <a:blip xmlns:r="http://schemas.openxmlformats.org/officeDocument/2006/relationships" r:embed="rId5"/>
        <a:stretch>
          <a:fillRect/>
        </a:stretch>
      </xdr:blipFill>
      <xdr:spPr>
        <a:xfrm>
          <a:off x="476250" y="16935450"/>
          <a:ext cx="2240993" cy="11334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28575</xdr:colOff>
      <xdr:row>6</xdr:row>
      <xdr:rowOff>0</xdr:rowOff>
    </xdr:from>
    <xdr:to>
      <xdr:col>10</xdr:col>
      <xdr:colOff>990600</xdr:colOff>
      <xdr:row>7</xdr:row>
      <xdr:rowOff>190500</xdr:rowOff>
    </xdr:to>
    <xdr:pic>
      <xdr:nvPicPr>
        <xdr:cNvPr id="2" name="Picture 2" hidden="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972300" y="1857375"/>
          <a:ext cx="962025" cy="495300"/>
        </a:xfrm>
        <a:prstGeom prst="rect">
          <a:avLst/>
        </a:prstGeom>
        <a:noFill/>
        <a:ln w="9360">
          <a:solidFill>
            <a:srgbClr val="000000"/>
          </a:solidFill>
          <a:miter lim="800000"/>
          <a:headEnd/>
          <a:tailEnd/>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10</xdr:col>
      <xdr:colOff>28575</xdr:colOff>
      <xdr:row>6</xdr:row>
      <xdr:rowOff>0</xdr:rowOff>
    </xdr:from>
    <xdr:to>
      <xdr:col>10</xdr:col>
      <xdr:colOff>990600</xdr:colOff>
      <xdr:row>7</xdr:row>
      <xdr:rowOff>171450</xdr:rowOff>
    </xdr:to>
    <xdr:pic>
      <xdr:nvPicPr>
        <xdr:cNvPr id="3" name="Picture 3" hidden="1">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email">
          <a:extLst>
            <a:ext uri="{28A0092B-C50C-407E-A947-70E740481C1C}">
              <a14:useLocalDpi xmlns:a14="http://schemas.microsoft.com/office/drawing/2010/main"/>
            </a:ext>
          </a:extLst>
        </a:blip>
        <a:srcRect/>
        <a:stretch>
          <a:fillRect/>
        </a:stretch>
      </xdr:blipFill>
      <xdr:spPr bwMode="auto">
        <a:xfrm>
          <a:off x="6972300" y="1857375"/>
          <a:ext cx="962025" cy="476250"/>
        </a:xfrm>
        <a:prstGeom prst="rect">
          <a:avLst/>
        </a:prstGeom>
        <a:noFill/>
        <a:ln w="9360">
          <a:solidFill>
            <a:srgbClr val="000000"/>
          </a:solidFill>
          <a:miter lim="800000"/>
          <a:headEnd/>
          <a:tailEnd/>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10</xdr:col>
      <xdr:colOff>28575</xdr:colOff>
      <xdr:row>6</xdr:row>
      <xdr:rowOff>0</xdr:rowOff>
    </xdr:from>
    <xdr:to>
      <xdr:col>10</xdr:col>
      <xdr:colOff>990600</xdr:colOff>
      <xdr:row>6</xdr:row>
      <xdr:rowOff>190500</xdr:rowOff>
    </xdr:to>
    <xdr:pic>
      <xdr:nvPicPr>
        <xdr:cNvPr id="4" name="Picture 2" hidden="1">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email">
          <a:extLst>
            <a:ext uri="{28A0092B-C50C-407E-A947-70E740481C1C}">
              <a14:useLocalDpi xmlns:a14="http://schemas.microsoft.com/office/drawing/2010/main"/>
            </a:ext>
          </a:extLst>
        </a:blip>
        <a:srcRect/>
        <a:stretch>
          <a:fillRect/>
        </a:stretch>
      </xdr:blipFill>
      <xdr:spPr bwMode="auto">
        <a:xfrm>
          <a:off x="6972300" y="1857375"/>
          <a:ext cx="962025" cy="190500"/>
        </a:xfrm>
        <a:prstGeom prst="rect">
          <a:avLst/>
        </a:prstGeom>
        <a:noFill/>
        <a:ln w="9360">
          <a:solidFill>
            <a:srgbClr val="000000"/>
          </a:solidFill>
          <a:miter lim="800000"/>
          <a:headEnd/>
          <a:tailEnd/>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10</xdr:col>
      <xdr:colOff>28575</xdr:colOff>
      <xdr:row>6</xdr:row>
      <xdr:rowOff>0</xdr:rowOff>
    </xdr:from>
    <xdr:to>
      <xdr:col>10</xdr:col>
      <xdr:colOff>990600</xdr:colOff>
      <xdr:row>6</xdr:row>
      <xdr:rowOff>171450</xdr:rowOff>
    </xdr:to>
    <xdr:pic>
      <xdr:nvPicPr>
        <xdr:cNvPr id="5" name="Picture 3" hidden="1">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4" cstate="email">
          <a:extLst>
            <a:ext uri="{28A0092B-C50C-407E-A947-70E740481C1C}">
              <a14:useLocalDpi xmlns:a14="http://schemas.microsoft.com/office/drawing/2010/main"/>
            </a:ext>
          </a:extLst>
        </a:blip>
        <a:srcRect/>
        <a:stretch>
          <a:fillRect/>
        </a:stretch>
      </xdr:blipFill>
      <xdr:spPr bwMode="auto">
        <a:xfrm>
          <a:off x="6972300" y="1857375"/>
          <a:ext cx="962025" cy="171450"/>
        </a:xfrm>
        <a:prstGeom prst="rect">
          <a:avLst/>
        </a:prstGeom>
        <a:noFill/>
        <a:ln w="9360">
          <a:solidFill>
            <a:srgbClr val="000000"/>
          </a:solidFill>
          <a:miter lim="800000"/>
          <a:headEnd/>
          <a:tailEnd/>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10</xdr:col>
      <xdr:colOff>28575</xdr:colOff>
      <xdr:row>6</xdr:row>
      <xdr:rowOff>0</xdr:rowOff>
    </xdr:from>
    <xdr:to>
      <xdr:col>10</xdr:col>
      <xdr:colOff>990600</xdr:colOff>
      <xdr:row>7</xdr:row>
      <xdr:rowOff>190500</xdr:rowOff>
    </xdr:to>
    <xdr:pic>
      <xdr:nvPicPr>
        <xdr:cNvPr id="6" name="Picture 2" hidden="1">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972300" y="1857375"/>
          <a:ext cx="962025" cy="495300"/>
        </a:xfrm>
        <a:prstGeom prst="rect">
          <a:avLst/>
        </a:prstGeom>
        <a:noFill/>
        <a:ln w="9360">
          <a:solidFill>
            <a:srgbClr val="000000"/>
          </a:solidFill>
          <a:miter lim="800000"/>
          <a:headEnd/>
          <a:tailEnd/>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10</xdr:col>
      <xdr:colOff>28575</xdr:colOff>
      <xdr:row>6</xdr:row>
      <xdr:rowOff>0</xdr:rowOff>
    </xdr:from>
    <xdr:to>
      <xdr:col>10</xdr:col>
      <xdr:colOff>990600</xdr:colOff>
      <xdr:row>7</xdr:row>
      <xdr:rowOff>171450</xdr:rowOff>
    </xdr:to>
    <xdr:pic>
      <xdr:nvPicPr>
        <xdr:cNvPr id="7" name="Picture 3" hidden="1">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2" cstate="email">
          <a:extLst>
            <a:ext uri="{28A0092B-C50C-407E-A947-70E740481C1C}">
              <a14:useLocalDpi xmlns:a14="http://schemas.microsoft.com/office/drawing/2010/main"/>
            </a:ext>
          </a:extLst>
        </a:blip>
        <a:srcRect/>
        <a:stretch>
          <a:fillRect/>
        </a:stretch>
      </xdr:blipFill>
      <xdr:spPr bwMode="auto">
        <a:xfrm>
          <a:off x="6972300" y="1857375"/>
          <a:ext cx="962025" cy="476250"/>
        </a:xfrm>
        <a:prstGeom prst="rect">
          <a:avLst/>
        </a:prstGeom>
        <a:noFill/>
        <a:ln w="9360">
          <a:solidFill>
            <a:srgbClr val="000000"/>
          </a:solidFill>
          <a:miter lim="800000"/>
          <a:headEnd/>
          <a:tailEnd/>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10</xdr:col>
      <xdr:colOff>28575</xdr:colOff>
      <xdr:row>7</xdr:row>
      <xdr:rowOff>0</xdr:rowOff>
    </xdr:from>
    <xdr:to>
      <xdr:col>10</xdr:col>
      <xdr:colOff>990600</xdr:colOff>
      <xdr:row>8</xdr:row>
      <xdr:rowOff>0</xdr:rowOff>
    </xdr:to>
    <xdr:pic>
      <xdr:nvPicPr>
        <xdr:cNvPr id="8" name="Picture 2" hidden="1">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5" cstate="email">
          <a:extLst>
            <a:ext uri="{28A0092B-C50C-407E-A947-70E740481C1C}">
              <a14:useLocalDpi xmlns:a14="http://schemas.microsoft.com/office/drawing/2010/main"/>
            </a:ext>
          </a:extLst>
        </a:blip>
        <a:srcRect/>
        <a:stretch>
          <a:fillRect/>
        </a:stretch>
      </xdr:blipFill>
      <xdr:spPr bwMode="auto">
        <a:xfrm>
          <a:off x="6972300" y="2162175"/>
          <a:ext cx="962025" cy="304800"/>
        </a:xfrm>
        <a:prstGeom prst="rect">
          <a:avLst/>
        </a:prstGeom>
        <a:noFill/>
        <a:ln w="9360">
          <a:solidFill>
            <a:srgbClr val="000000"/>
          </a:solidFill>
          <a:miter lim="800000"/>
          <a:headEnd/>
          <a:tailEnd/>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10</xdr:col>
      <xdr:colOff>28575</xdr:colOff>
      <xdr:row>7</xdr:row>
      <xdr:rowOff>0</xdr:rowOff>
    </xdr:from>
    <xdr:to>
      <xdr:col>10</xdr:col>
      <xdr:colOff>990600</xdr:colOff>
      <xdr:row>8</xdr:row>
      <xdr:rowOff>0</xdr:rowOff>
    </xdr:to>
    <xdr:pic>
      <xdr:nvPicPr>
        <xdr:cNvPr id="9" name="Picture 3" hidden="1">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6" cstate="email">
          <a:extLst>
            <a:ext uri="{28A0092B-C50C-407E-A947-70E740481C1C}">
              <a14:useLocalDpi xmlns:a14="http://schemas.microsoft.com/office/drawing/2010/main"/>
            </a:ext>
          </a:extLst>
        </a:blip>
        <a:srcRect/>
        <a:stretch>
          <a:fillRect/>
        </a:stretch>
      </xdr:blipFill>
      <xdr:spPr bwMode="auto">
        <a:xfrm>
          <a:off x="6972300" y="2162175"/>
          <a:ext cx="962025" cy="304800"/>
        </a:xfrm>
        <a:prstGeom prst="rect">
          <a:avLst/>
        </a:prstGeom>
        <a:noFill/>
        <a:ln w="9360">
          <a:solidFill>
            <a:srgbClr val="000000"/>
          </a:solidFill>
          <a:miter lim="800000"/>
          <a:headEnd/>
          <a:tailEnd/>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10</xdr:col>
      <xdr:colOff>28575</xdr:colOff>
      <xdr:row>7</xdr:row>
      <xdr:rowOff>0</xdr:rowOff>
    </xdr:from>
    <xdr:to>
      <xdr:col>10</xdr:col>
      <xdr:colOff>990600</xdr:colOff>
      <xdr:row>8</xdr:row>
      <xdr:rowOff>0</xdr:rowOff>
    </xdr:to>
    <xdr:pic>
      <xdr:nvPicPr>
        <xdr:cNvPr id="10" name="Picture 2" hidden="1">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5" cstate="email">
          <a:extLst>
            <a:ext uri="{28A0092B-C50C-407E-A947-70E740481C1C}">
              <a14:useLocalDpi xmlns:a14="http://schemas.microsoft.com/office/drawing/2010/main"/>
            </a:ext>
          </a:extLst>
        </a:blip>
        <a:srcRect/>
        <a:stretch>
          <a:fillRect/>
        </a:stretch>
      </xdr:blipFill>
      <xdr:spPr bwMode="auto">
        <a:xfrm>
          <a:off x="6972300" y="2162175"/>
          <a:ext cx="962025" cy="304800"/>
        </a:xfrm>
        <a:prstGeom prst="rect">
          <a:avLst/>
        </a:prstGeom>
        <a:noFill/>
        <a:ln w="9360">
          <a:solidFill>
            <a:srgbClr val="000000"/>
          </a:solidFill>
          <a:miter lim="800000"/>
          <a:headEnd/>
          <a:tailEnd/>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10</xdr:col>
      <xdr:colOff>28575</xdr:colOff>
      <xdr:row>7</xdr:row>
      <xdr:rowOff>0</xdr:rowOff>
    </xdr:from>
    <xdr:to>
      <xdr:col>10</xdr:col>
      <xdr:colOff>990600</xdr:colOff>
      <xdr:row>8</xdr:row>
      <xdr:rowOff>0</xdr:rowOff>
    </xdr:to>
    <xdr:pic>
      <xdr:nvPicPr>
        <xdr:cNvPr id="11" name="Picture 3" hidden="1">
          <a:extLst>
            <a:ext uri="{FF2B5EF4-FFF2-40B4-BE49-F238E27FC236}">
              <a16:creationId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6" cstate="email">
          <a:extLst>
            <a:ext uri="{28A0092B-C50C-407E-A947-70E740481C1C}">
              <a14:useLocalDpi xmlns:a14="http://schemas.microsoft.com/office/drawing/2010/main"/>
            </a:ext>
          </a:extLst>
        </a:blip>
        <a:srcRect/>
        <a:stretch>
          <a:fillRect/>
        </a:stretch>
      </xdr:blipFill>
      <xdr:spPr bwMode="auto">
        <a:xfrm>
          <a:off x="6972300" y="2162175"/>
          <a:ext cx="962025" cy="304800"/>
        </a:xfrm>
        <a:prstGeom prst="rect">
          <a:avLst/>
        </a:prstGeom>
        <a:noFill/>
        <a:ln w="9360">
          <a:solidFill>
            <a:srgbClr val="000000"/>
          </a:solidFill>
          <a:miter lim="800000"/>
          <a:headEnd/>
          <a:tailEnd/>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10</xdr:col>
      <xdr:colOff>28575</xdr:colOff>
      <xdr:row>5</xdr:row>
      <xdr:rowOff>0</xdr:rowOff>
    </xdr:from>
    <xdr:to>
      <xdr:col>10</xdr:col>
      <xdr:colOff>990600</xdr:colOff>
      <xdr:row>6</xdr:row>
      <xdr:rowOff>190500</xdr:rowOff>
    </xdr:to>
    <xdr:pic>
      <xdr:nvPicPr>
        <xdr:cNvPr id="12" name="Picture 2" hidden="1">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7" cstate="email">
          <a:extLst>
            <a:ext uri="{28A0092B-C50C-407E-A947-70E740481C1C}">
              <a14:useLocalDpi xmlns:a14="http://schemas.microsoft.com/office/drawing/2010/main"/>
            </a:ext>
          </a:extLst>
        </a:blip>
        <a:srcRect/>
        <a:stretch>
          <a:fillRect/>
        </a:stretch>
      </xdr:blipFill>
      <xdr:spPr bwMode="auto">
        <a:xfrm>
          <a:off x="6972300" y="1857375"/>
          <a:ext cx="962025" cy="495300"/>
        </a:xfrm>
        <a:prstGeom prst="rect">
          <a:avLst/>
        </a:prstGeom>
        <a:noFill/>
        <a:ln w="9360">
          <a:solidFill>
            <a:srgbClr val="000000"/>
          </a:solidFill>
          <a:miter lim="800000"/>
          <a:headEnd/>
          <a:tailEnd/>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10</xdr:col>
      <xdr:colOff>28575</xdr:colOff>
      <xdr:row>5</xdr:row>
      <xdr:rowOff>0</xdr:rowOff>
    </xdr:from>
    <xdr:to>
      <xdr:col>10</xdr:col>
      <xdr:colOff>990600</xdr:colOff>
      <xdr:row>6</xdr:row>
      <xdr:rowOff>171450</xdr:rowOff>
    </xdr:to>
    <xdr:pic>
      <xdr:nvPicPr>
        <xdr:cNvPr id="13" name="Picture 3" hidden="1">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8" cstate="email">
          <a:extLst>
            <a:ext uri="{28A0092B-C50C-407E-A947-70E740481C1C}">
              <a14:useLocalDpi xmlns:a14="http://schemas.microsoft.com/office/drawing/2010/main"/>
            </a:ext>
          </a:extLst>
        </a:blip>
        <a:srcRect/>
        <a:stretch>
          <a:fillRect/>
        </a:stretch>
      </xdr:blipFill>
      <xdr:spPr bwMode="auto">
        <a:xfrm>
          <a:off x="6972300" y="1857375"/>
          <a:ext cx="962025" cy="476250"/>
        </a:xfrm>
        <a:prstGeom prst="rect">
          <a:avLst/>
        </a:prstGeom>
        <a:noFill/>
        <a:ln w="9360">
          <a:solidFill>
            <a:srgbClr val="000000"/>
          </a:solidFill>
          <a:miter lim="800000"/>
          <a:headEnd/>
          <a:tailEnd/>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10</xdr:col>
      <xdr:colOff>28575</xdr:colOff>
      <xdr:row>5</xdr:row>
      <xdr:rowOff>0</xdr:rowOff>
    </xdr:from>
    <xdr:to>
      <xdr:col>10</xdr:col>
      <xdr:colOff>990600</xdr:colOff>
      <xdr:row>6</xdr:row>
      <xdr:rowOff>190500</xdr:rowOff>
    </xdr:to>
    <xdr:pic>
      <xdr:nvPicPr>
        <xdr:cNvPr id="14" name="Picture 2" hidden="1">
          <a:extLst>
            <a:ext uri="{FF2B5EF4-FFF2-40B4-BE49-F238E27FC236}">
              <a16:creationId xmlns:a16="http://schemas.microsoft.com/office/drawing/2014/main" id="{00000000-0008-0000-0000-00000E000000}"/>
            </a:ext>
          </a:extLst>
        </xdr:cNvPr>
        <xdr:cNvPicPr>
          <a:picLocks noChangeAspect="1" noChangeArrowheads="1"/>
        </xdr:cNvPicPr>
      </xdr:nvPicPr>
      <xdr:blipFill>
        <a:blip xmlns:r="http://schemas.openxmlformats.org/officeDocument/2006/relationships" r:embed="rId7" cstate="email">
          <a:extLst>
            <a:ext uri="{28A0092B-C50C-407E-A947-70E740481C1C}">
              <a14:useLocalDpi xmlns:a14="http://schemas.microsoft.com/office/drawing/2010/main"/>
            </a:ext>
          </a:extLst>
        </a:blip>
        <a:srcRect/>
        <a:stretch>
          <a:fillRect/>
        </a:stretch>
      </xdr:blipFill>
      <xdr:spPr bwMode="auto">
        <a:xfrm>
          <a:off x="6972300" y="1857375"/>
          <a:ext cx="962025" cy="495300"/>
        </a:xfrm>
        <a:prstGeom prst="rect">
          <a:avLst/>
        </a:prstGeom>
        <a:noFill/>
        <a:ln w="9360">
          <a:solidFill>
            <a:srgbClr val="000000"/>
          </a:solidFill>
          <a:miter lim="800000"/>
          <a:headEnd/>
          <a:tailEnd/>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10</xdr:col>
      <xdr:colOff>28575</xdr:colOff>
      <xdr:row>5</xdr:row>
      <xdr:rowOff>0</xdr:rowOff>
    </xdr:from>
    <xdr:to>
      <xdr:col>10</xdr:col>
      <xdr:colOff>990600</xdr:colOff>
      <xdr:row>6</xdr:row>
      <xdr:rowOff>171450</xdr:rowOff>
    </xdr:to>
    <xdr:pic>
      <xdr:nvPicPr>
        <xdr:cNvPr id="15" name="Picture 3" hidden="1">
          <a:extLst>
            <a:ext uri="{FF2B5EF4-FFF2-40B4-BE49-F238E27FC236}">
              <a16:creationId xmlns:a16="http://schemas.microsoft.com/office/drawing/2014/main" id="{00000000-0008-0000-0000-00000F000000}"/>
            </a:ext>
          </a:extLst>
        </xdr:cNvPr>
        <xdr:cNvPicPr>
          <a:picLocks noChangeAspect="1" noChangeArrowheads="1"/>
        </xdr:cNvPicPr>
      </xdr:nvPicPr>
      <xdr:blipFill>
        <a:blip xmlns:r="http://schemas.openxmlformats.org/officeDocument/2006/relationships" r:embed="rId8" cstate="email">
          <a:extLst>
            <a:ext uri="{28A0092B-C50C-407E-A947-70E740481C1C}">
              <a14:useLocalDpi xmlns:a14="http://schemas.microsoft.com/office/drawing/2010/main"/>
            </a:ext>
          </a:extLst>
        </a:blip>
        <a:srcRect/>
        <a:stretch>
          <a:fillRect/>
        </a:stretch>
      </xdr:blipFill>
      <xdr:spPr bwMode="auto">
        <a:xfrm>
          <a:off x="6972300" y="1857375"/>
          <a:ext cx="962025" cy="476250"/>
        </a:xfrm>
        <a:prstGeom prst="rect">
          <a:avLst/>
        </a:prstGeom>
        <a:noFill/>
        <a:ln w="9360">
          <a:solidFill>
            <a:srgbClr val="000000"/>
          </a:solidFill>
          <a:miter lim="800000"/>
          <a:headEnd/>
          <a:tailEnd/>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10</xdr:col>
      <xdr:colOff>28575</xdr:colOff>
      <xdr:row>6</xdr:row>
      <xdr:rowOff>0</xdr:rowOff>
    </xdr:from>
    <xdr:to>
      <xdr:col>10</xdr:col>
      <xdr:colOff>990600</xdr:colOff>
      <xdr:row>7</xdr:row>
      <xdr:rowOff>0</xdr:rowOff>
    </xdr:to>
    <xdr:pic>
      <xdr:nvPicPr>
        <xdr:cNvPr id="16" name="Picture 2" hidden="1">
          <a:extLst>
            <a:ext uri="{FF2B5EF4-FFF2-40B4-BE49-F238E27FC236}">
              <a16:creationId xmlns:a16="http://schemas.microsoft.com/office/drawing/2014/main" id="{00000000-0008-0000-0000-000010000000}"/>
            </a:ext>
          </a:extLst>
        </xdr:cNvPr>
        <xdr:cNvPicPr>
          <a:picLocks noChangeAspect="1" noChangeArrowheads="1"/>
        </xdr:cNvPicPr>
      </xdr:nvPicPr>
      <xdr:blipFill>
        <a:blip xmlns:r="http://schemas.openxmlformats.org/officeDocument/2006/relationships" r:embed="rId5" cstate="email">
          <a:extLst>
            <a:ext uri="{28A0092B-C50C-407E-A947-70E740481C1C}">
              <a14:useLocalDpi xmlns:a14="http://schemas.microsoft.com/office/drawing/2010/main"/>
            </a:ext>
          </a:extLst>
        </a:blip>
        <a:srcRect/>
        <a:stretch>
          <a:fillRect/>
        </a:stretch>
      </xdr:blipFill>
      <xdr:spPr bwMode="auto">
        <a:xfrm>
          <a:off x="6972300" y="2162175"/>
          <a:ext cx="962025" cy="304800"/>
        </a:xfrm>
        <a:prstGeom prst="rect">
          <a:avLst/>
        </a:prstGeom>
        <a:noFill/>
        <a:ln w="9360">
          <a:solidFill>
            <a:srgbClr val="000000"/>
          </a:solidFill>
          <a:miter lim="800000"/>
          <a:headEnd/>
          <a:tailEnd/>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10</xdr:col>
      <xdr:colOff>28575</xdr:colOff>
      <xdr:row>6</xdr:row>
      <xdr:rowOff>0</xdr:rowOff>
    </xdr:from>
    <xdr:to>
      <xdr:col>10</xdr:col>
      <xdr:colOff>990600</xdr:colOff>
      <xdr:row>7</xdr:row>
      <xdr:rowOff>0</xdr:rowOff>
    </xdr:to>
    <xdr:pic>
      <xdr:nvPicPr>
        <xdr:cNvPr id="17" name="Picture 3" hidden="1">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6" cstate="email">
          <a:extLst>
            <a:ext uri="{28A0092B-C50C-407E-A947-70E740481C1C}">
              <a14:useLocalDpi xmlns:a14="http://schemas.microsoft.com/office/drawing/2010/main"/>
            </a:ext>
          </a:extLst>
        </a:blip>
        <a:srcRect/>
        <a:stretch>
          <a:fillRect/>
        </a:stretch>
      </xdr:blipFill>
      <xdr:spPr bwMode="auto">
        <a:xfrm>
          <a:off x="6972300" y="2162175"/>
          <a:ext cx="962025" cy="304800"/>
        </a:xfrm>
        <a:prstGeom prst="rect">
          <a:avLst/>
        </a:prstGeom>
        <a:noFill/>
        <a:ln w="9360">
          <a:solidFill>
            <a:srgbClr val="000000"/>
          </a:solidFill>
          <a:miter lim="800000"/>
          <a:headEnd/>
          <a:tailEnd/>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10</xdr:col>
      <xdr:colOff>28575</xdr:colOff>
      <xdr:row>6</xdr:row>
      <xdr:rowOff>0</xdr:rowOff>
    </xdr:from>
    <xdr:to>
      <xdr:col>10</xdr:col>
      <xdr:colOff>990600</xdr:colOff>
      <xdr:row>7</xdr:row>
      <xdr:rowOff>0</xdr:rowOff>
    </xdr:to>
    <xdr:pic>
      <xdr:nvPicPr>
        <xdr:cNvPr id="18" name="Picture 2" hidden="1">
          <a:extLst>
            <a:ext uri="{FF2B5EF4-FFF2-40B4-BE49-F238E27FC236}">
              <a16:creationId xmlns:a16="http://schemas.microsoft.com/office/drawing/2014/main" id="{00000000-0008-0000-0000-000012000000}"/>
            </a:ext>
          </a:extLst>
        </xdr:cNvPr>
        <xdr:cNvPicPr>
          <a:picLocks noChangeAspect="1" noChangeArrowheads="1"/>
        </xdr:cNvPicPr>
      </xdr:nvPicPr>
      <xdr:blipFill>
        <a:blip xmlns:r="http://schemas.openxmlformats.org/officeDocument/2006/relationships" r:embed="rId5" cstate="email">
          <a:extLst>
            <a:ext uri="{28A0092B-C50C-407E-A947-70E740481C1C}">
              <a14:useLocalDpi xmlns:a14="http://schemas.microsoft.com/office/drawing/2010/main"/>
            </a:ext>
          </a:extLst>
        </a:blip>
        <a:srcRect/>
        <a:stretch>
          <a:fillRect/>
        </a:stretch>
      </xdr:blipFill>
      <xdr:spPr bwMode="auto">
        <a:xfrm>
          <a:off x="6972300" y="2162175"/>
          <a:ext cx="962025" cy="304800"/>
        </a:xfrm>
        <a:prstGeom prst="rect">
          <a:avLst/>
        </a:prstGeom>
        <a:noFill/>
        <a:ln w="9360">
          <a:solidFill>
            <a:srgbClr val="000000"/>
          </a:solidFill>
          <a:miter lim="800000"/>
          <a:headEnd/>
          <a:tailEnd/>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10</xdr:col>
      <xdr:colOff>28575</xdr:colOff>
      <xdr:row>6</xdr:row>
      <xdr:rowOff>0</xdr:rowOff>
    </xdr:from>
    <xdr:to>
      <xdr:col>10</xdr:col>
      <xdr:colOff>990600</xdr:colOff>
      <xdr:row>7</xdr:row>
      <xdr:rowOff>0</xdr:rowOff>
    </xdr:to>
    <xdr:pic>
      <xdr:nvPicPr>
        <xdr:cNvPr id="19" name="Picture 3" hidden="1">
          <a:extLst>
            <a:ext uri="{FF2B5EF4-FFF2-40B4-BE49-F238E27FC236}">
              <a16:creationId xmlns:a16="http://schemas.microsoft.com/office/drawing/2014/main" id="{00000000-0008-0000-0000-000013000000}"/>
            </a:ext>
          </a:extLst>
        </xdr:cNvPr>
        <xdr:cNvPicPr>
          <a:picLocks noChangeAspect="1" noChangeArrowheads="1"/>
        </xdr:cNvPicPr>
      </xdr:nvPicPr>
      <xdr:blipFill>
        <a:blip xmlns:r="http://schemas.openxmlformats.org/officeDocument/2006/relationships" r:embed="rId6" cstate="email">
          <a:extLst>
            <a:ext uri="{28A0092B-C50C-407E-A947-70E740481C1C}">
              <a14:useLocalDpi xmlns:a14="http://schemas.microsoft.com/office/drawing/2010/main"/>
            </a:ext>
          </a:extLst>
        </a:blip>
        <a:srcRect/>
        <a:stretch>
          <a:fillRect/>
        </a:stretch>
      </xdr:blipFill>
      <xdr:spPr bwMode="auto">
        <a:xfrm>
          <a:off x="6972300" y="2162175"/>
          <a:ext cx="962025" cy="304800"/>
        </a:xfrm>
        <a:prstGeom prst="rect">
          <a:avLst/>
        </a:prstGeom>
        <a:noFill/>
        <a:ln w="9360">
          <a:solidFill>
            <a:srgbClr val="000000"/>
          </a:solidFill>
          <a:miter lim="800000"/>
          <a:headEnd/>
          <a:tailEnd/>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12</xdr:col>
      <xdr:colOff>180975</xdr:colOff>
      <xdr:row>1</xdr:row>
      <xdr:rowOff>19050</xdr:rowOff>
    </xdr:from>
    <xdr:to>
      <xdr:col>13</xdr:col>
      <xdr:colOff>542925</xdr:colOff>
      <xdr:row>2</xdr:row>
      <xdr:rowOff>152400</xdr:rowOff>
    </xdr:to>
    <xdr:sp macro="[0]!ClearData" textlink="">
      <xdr:nvSpPr>
        <xdr:cNvPr id="20" name="Rectangle: Rounded Corners 19">
          <a:extLst>
            <a:ext uri="{FF2B5EF4-FFF2-40B4-BE49-F238E27FC236}">
              <a16:creationId xmlns:a16="http://schemas.microsoft.com/office/drawing/2014/main" id="{A27BA806-4279-4DB2-892C-276CDA0B67D2}"/>
            </a:ext>
          </a:extLst>
        </xdr:cNvPr>
        <xdr:cNvSpPr/>
      </xdr:nvSpPr>
      <xdr:spPr>
        <a:xfrm>
          <a:off x="8839200" y="228600"/>
          <a:ext cx="971550" cy="514350"/>
        </a:xfrm>
        <a:prstGeom prst="round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US" sz="1200" b="1"/>
            <a:t>Reset Workbook</a:t>
          </a:r>
          <a:endParaRPr lang="en-US" sz="1100" b="1"/>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273843</xdr:colOff>
      <xdr:row>16</xdr:row>
      <xdr:rowOff>11905</xdr:rowOff>
    </xdr:from>
    <xdr:to>
      <xdr:col>6</xdr:col>
      <xdr:colOff>369093</xdr:colOff>
      <xdr:row>19</xdr:row>
      <xdr:rowOff>90486</xdr:rowOff>
    </xdr:to>
    <xdr:sp macro="[0]!RestorePPI" textlink="">
      <xdr:nvSpPr>
        <xdr:cNvPr id="4" name="Rounded Rectangle 2">
          <a:extLst>
            <a:ext uri="{FF2B5EF4-FFF2-40B4-BE49-F238E27FC236}">
              <a16:creationId xmlns:a16="http://schemas.microsoft.com/office/drawing/2014/main" id="{728CF7A3-5864-492A-8A63-4E510C58F758}"/>
            </a:ext>
          </a:extLst>
        </xdr:cNvPr>
        <xdr:cNvSpPr/>
      </xdr:nvSpPr>
      <xdr:spPr bwMode="auto">
        <a:xfrm>
          <a:off x="6310312" y="4345780"/>
          <a:ext cx="1143000" cy="685800"/>
        </a:xfrm>
        <a:prstGeom prst="roundRect">
          <a:avLst/>
        </a:prstGeom>
        <a:solidFill>
          <a:schemeClr val="accent1"/>
        </a:solidFill>
        <a:ln>
          <a:headEnd type="none" w="med" len="med"/>
          <a:tailEnd type="none" w="med" len="med"/>
        </a:ln>
      </xdr:spPr>
      <xdr:style>
        <a:lnRef idx="0">
          <a:schemeClr val="accent2"/>
        </a:lnRef>
        <a:fillRef idx="3">
          <a:schemeClr val="accent2"/>
        </a:fillRef>
        <a:effectRef idx="3">
          <a:schemeClr val="accent2"/>
        </a:effectRef>
        <a:fontRef idx="minor">
          <a:schemeClr val="lt1"/>
        </a:fontRef>
      </xdr:style>
      <xdr:txBody>
        <a:bodyPr vertOverflow="clip" horzOverflow="clip" wrap="square" lIns="18288" tIns="0" rIns="0" bIns="0" rtlCol="0" anchor="ctr" upright="1"/>
        <a:lstStyle/>
        <a:p>
          <a:pPr algn="ctr"/>
          <a:r>
            <a:rPr lang="en-US" sz="1600"/>
            <a:t>Restore PPI</a:t>
          </a:r>
        </a:p>
      </xdr:txBody>
    </xdr:sp>
    <xdr:clientData/>
  </xdr:twoCellAnchor>
  <xdr:twoCellAnchor>
    <xdr:from>
      <xdr:col>6</xdr:col>
      <xdr:colOff>666751</xdr:colOff>
      <xdr:row>16</xdr:row>
      <xdr:rowOff>11904</xdr:rowOff>
    </xdr:from>
    <xdr:to>
      <xdr:col>7</xdr:col>
      <xdr:colOff>762001</xdr:colOff>
      <xdr:row>19</xdr:row>
      <xdr:rowOff>90485</xdr:rowOff>
    </xdr:to>
    <xdr:sp macro="[0]!Enable_Overrides" textlink="">
      <xdr:nvSpPr>
        <xdr:cNvPr id="3" name="Rounded Rectangle 2">
          <a:extLst>
            <a:ext uri="{FF2B5EF4-FFF2-40B4-BE49-F238E27FC236}">
              <a16:creationId xmlns:a16="http://schemas.microsoft.com/office/drawing/2014/main" id="{5B04B28E-A67A-492A-9B7C-8845F608CB02}"/>
            </a:ext>
          </a:extLst>
        </xdr:cNvPr>
        <xdr:cNvSpPr/>
      </xdr:nvSpPr>
      <xdr:spPr bwMode="auto">
        <a:xfrm>
          <a:off x="7750970" y="4345779"/>
          <a:ext cx="1143000" cy="685800"/>
        </a:xfrm>
        <a:prstGeom prst="roundRect">
          <a:avLst/>
        </a:prstGeom>
        <a:ln>
          <a:headEnd type="none" w="med" len="med"/>
          <a:tailEnd type="none" w="med" len="med"/>
        </a:ln>
      </xdr:spPr>
      <xdr:style>
        <a:lnRef idx="0">
          <a:schemeClr val="accent6"/>
        </a:lnRef>
        <a:fillRef idx="3">
          <a:schemeClr val="accent6"/>
        </a:fillRef>
        <a:effectRef idx="3">
          <a:schemeClr val="accent6"/>
        </a:effectRef>
        <a:fontRef idx="minor">
          <a:schemeClr val="lt1"/>
        </a:fontRef>
      </xdr:style>
      <xdr:txBody>
        <a:bodyPr vertOverflow="clip" horzOverflow="clip" wrap="square" lIns="18288" tIns="0" rIns="0" bIns="0" rtlCol="0" anchor="ctr" upright="1"/>
        <a:lstStyle/>
        <a:p>
          <a:pPr algn="ctr"/>
          <a:r>
            <a:rPr lang="en-US" sz="1600"/>
            <a:t>Show/Hide</a:t>
          </a:r>
          <a:r>
            <a:rPr lang="en-US" sz="1600" baseline="0"/>
            <a:t> Ove</a:t>
          </a:r>
          <a:r>
            <a:rPr lang="en-US" sz="1600"/>
            <a:t>rrides</a:t>
          </a:r>
        </a:p>
      </xdr:txBody>
    </xdr:sp>
    <xdr:clientData/>
  </xdr:twoCellAnchor>
  <xdr:twoCellAnchor>
    <xdr:from>
      <xdr:col>3</xdr:col>
      <xdr:colOff>971550</xdr:colOff>
      <xdr:row>16</xdr:row>
      <xdr:rowOff>28575</xdr:rowOff>
    </xdr:from>
    <xdr:to>
      <xdr:col>5</xdr:col>
      <xdr:colOff>19050</xdr:colOff>
      <xdr:row>19</xdr:row>
      <xdr:rowOff>107156</xdr:rowOff>
    </xdr:to>
    <xdr:sp macro="[0]!ActivateDSMT" textlink="">
      <xdr:nvSpPr>
        <xdr:cNvPr id="2" name="Rounded Rectangle 2">
          <a:extLst>
            <a:ext uri="{FF2B5EF4-FFF2-40B4-BE49-F238E27FC236}">
              <a16:creationId xmlns:a16="http://schemas.microsoft.com/office/drawing/2014/main" id="{5423B6F3-4230-4784-B8C8-D9381E59C17F}"/>
            </a:ext>
          </a:extLst>
        </xdr:cNvPr>
        <xdr:cNvSpPr/>
      </xdr:nvSpPr>
      <xdr:spPr bwMode="auto">
        <a:xfrm>
          <a:off x="4914900" y="5153025"/>
          <a:ext cx="1143000" cy="688181"/>
        </a:xfrm>
        <a:prstGeom prst="roundRect">
          <a:avLst/>
        </a:prstGeom>
        <a:ln>
          <a:headEnd type="none" w="med" len="med"/>
          <a:tailEnd type="none" w="med" len="med"/>
        </a:ln>
      </xdr:spPr>
      <xdr:style>
        <a:lnRef idx="0">
          <a:schemeClr val="accent3"/>
        </a:lnRef>
        <a:fillRef idx="3">
          <a:schemeClr val="accent3"/>
        </a:fillRef>
        <a:effectRef idx="3">
          <a:schemeClr val="accent3"/>
        </a:effectRef>
        <a:fontRef idx="minor">
          <a:schemeClr val="lt1"/>
        </a:fontRef>
      </xdr:style>
      <xdr:txBody>
        <a:bodyPr vertOverflow="clip" horzOverflow="clip" wrap="square" lIns="18288" tIns="0" rIns="0" bIns="0" rtlCol="0" anchor="ctr" upright="1"/>
        <a:lstStyle/>
        <a:p>
          <a:pPr algn="ctr"/>
          <a:r>
            <a:rPr lang="en-US" sz="1600"/>
            <a:t>DSMT Export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47625</xdr:colOff>
      <xdr:row>45</xdr:row>
      <xdr:rowOff>28575</xdr:rowOff>
    </xdr:from>
    <xdr:to>
      <xdr:col>5</xdr:col>
      <xdr:colOff>1009650</xdr:colOff>
      <xdr:row>69</xdr:row>
      <xdr:rowOff>133350</xdr:rowOff>
    </xdr:to>
    <xdr:graphicFrame macro="">
      <xdr:nvGraphicFramePr>
        <xdr:cNvPr id="2" name="Chart 1">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47625</xdr:colOff>
      <xdr:row>78</xdr:row>
      <xdr:rowOff>19050</xdr:rowOff>
    </xdr:from>
    <xdr:to>
      <xdr:col>5</xdr:col>
      <xdr:colOff>1000125</xdr:colOff>
      <xdr:row>102</xdr:row>
      <xdr:rowOff>161925</xdr:rowOff>
    </xdr:to>
    <xdr:graphicFrame macro="">
      <xdr:nvGraphicFramePr>
        <xdr:cNvPr id="3" name="Chart 2">
          <a:extLst>
            <a:ext uri="{FF2B5EF4-FFF2-40B4-BE49-F238E27FC236}">
              <a16:creationId xmlns:a16="http://schemas.microsoft.com/office/drawing/2014/main" id="{00000000-0008-0000-05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47625</xdr:colOff>
      <xdr:row>106</xdr:row>
      <xdr:rowOff>19050</xdr:rowOff>
    </xdr:from>
    <xdr:to>
      <xdr:col>5</xdr:col>
      <xdr:colOff>1000125</xdr:colOff>
      <xdr:row>121</xdr:row>
      <xdr:rowOff>161925</xdr:rowOff>
    </xdr:to>
    <xdr:graphicFrame macro="">
      <xdr:nvGraphicFramePr>
        <xdr:cNvPr id="4" name="Chart 3">
          <a:extLst>
            <a:ext uri="{FF2B5EF4-FFF2-40B4-BE49-F238E27FC236}">
              <a16:creationId xmlns:a16="http://schemas.microsoft.com/office/drawing/2014/main" id="{00000000-0008-0000-05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1766208</xdr:colOff>
      <xdr:row>114</xdr:row>
      <xdr:rowOff>108857</xdr:rowOff>
    </xdr:from>
    <xdr:to>
      <xdr:col>1</xdr:col>
      <xdr:colOff>2328183</xdr:colOff>
      <xdr:row>117</xdr:row>
      <xdr:rowOff>32657</xdr:rowOff>
    </xdr:to>
    <xdr:pic>
      <xdr:nvPicPr>
        <xdr:cNvPr id="5" name="Picture 24">
          <a:extLst>
            <a:ext uri="{FF2B5EF4-FFF2-40B4-BE49-F238E27FC236}">
              <a16:creationId xmlns:a16="http://schemas.microsoft.com/office/drawing/2014/main" id="{00000000-0008-0000-0500-000005000000}"/>
            </a:ext>
          </a:extLst>
        </xdr:cNvPr>
        <xdr:cNvPicPr>
          <a:picLocks noChangeAspect="1" noChangeArrowheads="1"/>
        </xdr:cNvPicPr>
      </xdr:nvPicPr>
      <xdr:blipFill>
        <a:blip xmlns:r="http://schemas.openxmlformats.org/officeDocument/2006/relationships" r:embed="rId4" cstate="email">
          <a:extLst>
            <a:ext uri="{28A0092B-C50C-407E-A947-70E740481C1C}">
              <a14:useLocalDpi xmlns:a14="http://schemas.microsoft.com/office/drawing/2010/main"/>
            </a:ext>
          </a:extLst>
        </a:blip>
        <a:srcRect/>
        <a:stretch>
          <a:fillRect/>
        </a:stretch>
      </xdr:blipFill>
      <xdr:spPr bwMode="auto">
        <a:xfrm>
          <a:off x="1915887" y="30439178"/>
          <a:ext cx="561975" cy="4953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1771650</xdr:colOff>
      <xdr:row>109</xdr:row>
      <xdr:rowOff>161925</xdr:rowOff>
    </xdr:from>
    <xdr:to>
      <xdr:col>1</xdr:col>
      <xdr:colOff>2314575</xdr:colOff>
      <xdr:row>111</xdr:row>
      <xdr:rowOff>161925</xdr:rowOff>
    </xdr:to>
    <xdr:pic>
      <xdr:nvPicPr>
        <xdr:cNvPr id="6" name="Picture 11">
          <a:extLst>
            <a:ext uri="{FF2B5EF4-FFF2-40B4-BE49-F238E27FC236}">
              <a16:creationId xmlns:a16="http://schemas.microsoft.com/office/drawing/2014/main" id="{00000000-0008-0000-0500-000006000000}"/>
            </a:ext>
          </a:extLst>
        </xdr:cNvPr>
        <xdr:cNvPicPr>
          <a:picLocks noChangeAspect="1" noChangeArrowheads="1"/>
        </xdr:cNvPicPr>
      </xdr:nvPicPr>
      <xdr:blipFill>
        <a:blip xmlns:r="http://schemas.openxmlformats.org/officeDocument/2006/relationships" r:embed="rId5" cstate="email">
          <a:extLst>
            <a:ext uri="{28A0092B-C50C-407E-A947-70E740481C1C}">
              <a14:useLocalDpi xmlns:a14="http://schemas.microsoft.com/office/drawing/2010/main"/>
            </a:ext>
          </a:extLst>
        </a:blip>
        <a:srcRect/>
        <a:stretch>
          <a:fillRect/>
        </a:stretch>
      </xdr:blipFill>
      <xdr:spPr bwMode="auto">
        <a:xfrm>
          <a:off x="1914525" y="29622750"/>
          <a:ext cx="542925" cy="3810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1809750</xdr:colOff>
      <xdr:row>112</xdr:row>
      <xdr:rowOff>104775</xdr:rowOff>
    </xdr:from>
    <xdr:to>
      <xdr:col>1</xdr:col>
      <xdr:colOff>2276475</xdr:colOff>
      <xdr:row>114</xdr:row>
      <xdr:rowOff>104775</xdr:rowOff>
    </xdr:to>
    <xdr:pic>
      <xdr:nvPicPr>
        <xdr:cNvPr id="7" name="Picture 12">
          <a:extLst>
            <a:ext uri="{FF2B5EF4-FFF2-40B4-BE49-F238E27FC236}">
              <a16:creationId xmlns:a16="http://schemas.microsoft.com/office/drawing/2014/main" id="{00000000-0008-0000-0500-000007000000}"/>
            </a:ext>
          </a:extLst>
        </xdr:cNvPr>
        <xdr:cNvPicPr>
          <a:picLocks noChangeAspect="1" noChangeArrowheads="1"/>
        </xdr:cNvPicPr>
      </xdr:nvPicPr>
      <xdr:blipFill>
        <a:blip xmlns:r="http://schemas.openxmlformats.org/officeDocument/2006/relationships" r:embed="rId6" cstate="email">
          <a:extLst>
            <a:ext uri="{28A0092B-C50C-407E-A947-70E740481C1C}">
              <a14:useLocalDpi xmlns:a14="http://schemas.microsoft.com/office/drawing/2010/main"/>
            </a:ext>
          </a:extLst>
        </a:blip>
        <a:srcRect/>
        <a:stretch>
          <a:fillRect/>
        </a:stretch>
      </xdr:blipFill>
      <xdr:spPr bwMode="auto">
        <a:xfrm>
          <a:off x="1952625" y="30137100"/>
          <a:ext cx="466725" cy="3810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1800225</xdr:colOff>
      <xdr:row>117</xdr:row>
      <xdr:rowOff>12247</xdr:rowOff>
    </xdr:from>
    <xdr:to>
      <xdr:col>1</xdr:col>
      <xdr:colOff>2276475</xdr:colOff>
      <xdr:row>119</xdr:row>
      <xdr:rowOff>136072</xdr:rowOff>
    </xdr:to>
    <xdr:pic>
      <xdr:nvPicPr>
        <xdr:cNvPr id="8" name="Picture 15">
          <a:extLst>
            <a:ext uri="{FF2B5EF4-FFF2-40B4-BE49-F238E27FC236}">
              <a16:creationId xmlns:a16="http://schemas.microsoft.com/office/drawing/2014/main" id="{00000000-0008-0000-0500-000008000000}"/>
            </a:ext>
          </a:extLst>
        </xdr:cNvPr>
        <xdr:cNvPicPr>
          <a:picLocks noChangeAspect="1" noChangeArrowheads="1"/>
        </xdr:cNvPicPr>
      </xdr:nvPicPr>
      <xdr:blipFill>
        <a:blip xmlns:r="http://schemas.openxmlformats.org/officeDocument/2006/relationships" r:embed="rId7" cstate="email">
          <a:extLst>
            <a:ext uri="{28A0092B-C50C-407E-A947-70E740481C1C}">
              <a14:useLocalDpi xmlns:a14="http://schemas.microsoft.com/office/drawing/2010/main"/>
            </a:ext>
          </a:extLst>
        </a:blip>
        <a:srcRect/>
        <a:stretch>
          <a:fillRect/>
        </a:stretch>
      </xdr:blipFill>
      <xdr:spPr bwMode="auto">
        <a:xfrm>
          <a:off x="1949904" y="30914068"/>
          <a:ext cx="476250" cy="50482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1800225</xdr:colOff>
      <xdr:row>107</xdr:row>
      <xdr:rowOff>47625</xdr:rowOff>
    </xdr:from>
    <xdr:to>
      <xdr:col>1</xdr:col>
      <xdr:colOff>2295525</xdr:colOff>
      <xdr:row>109</xdr:row>
      <xdr:rowOff>28575</xdr:rowOff>
    </xdr:to>
    <xdr:pic>
      <xdr:nvPicPr>
        <xdr:cNvPr id="9" name="Picture 14">
          <a:extLst>
            <a:ext uri="{FF2B5EF4-FFF2-40B4-BE49-F238E27FC236}">
              <a16:creationId xmlns:a16="http://schemas.microsoft.com/office/drawing/2014/main" id="{00000000-0008-0000-0500-000009000000}"/>
            </a:ext>
          </a:extLst>
        </xdr:cNvPr>
        <xdr:cNvPicPr>
          <a:picLocks noChangeAspect="1" noChangeArrowheads="1"/>
        </xdr:cNvPicPr>
      </xdr:nvPicPr>
      <xdr:blipFill>
        <a:blip xmlns:r="http://schemas.openxmlformats.org/officeDocument/2006/relationships" r:embed="rId8" cstate="email">
          <a:extLst>
            <a:ext uri="{28A0092B-C50C-407E-A947-70E740481C1C}">
              <a14:useLocalDpi xmlns:a14="http://schemas.microsoft.com/office/drawing/2010/main"/>
            </a:ext>
          </a:extLst>
        </a:blip>
        <a:srcRect/>
        <a:stretch>
          <a:fillRect/>
        </a:stretch>
      </xdr:blipFill>
      <xdr:spPr bwMode="auto">
        <a:xfrm>
          <a:off x="1943100" y="29127450"/>
          <a:ext cx="495300" cy="36195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207818</xdr:colOff>
      <xdr:row>6</xdr:row>
      <xdr:rowOff>173182</xdr:rowOff>
    </xdr:from>
    <xdr:to>
      <xdr:col>2</xdr:col>
      <xdr:colOff>969630</xdr:colOff>
      <xdr:row>9</xdr:row>
      <xdr:rowOff>150322</xdr:rowOff>
    </xdr:to>
    <xdr:sp macro="[0]!CreateMLI" textlink="">
      <xdr:nvSpPr>
        <xdr:cNvPr id="4" name="Rectangle: Rounded Corners 3">
          <a:extLst>
            <a:ext uri="{FF2B5EF4-FFF2-40B4-BE49-F238E27FC236}">
              <a16:creationId xmlns:a16="http://schemas.microsoft.com/office/drawing/2014/main" id="{F3649C1D-A59A-4AF9-93E9-A44CF4804573}"/>
            </a:ext>
          </a:extLst>
        </xdr:cNvPr>
        <xdr:cNvSpPr/>
      </xdr:nvSpPr>
      <xdr:spPr bwMode="auto">
        <a:xfrm>
          <a:off x="926523" y="1792432"/>
          <a:ext cx="2147266" cy="548640"/>
        </a:xfrm>
        <a:prstGeom prst="roundRect">
          <a:avLst/>
        </a:prstGeom>
        <a:ln>
          <a:headEnd type="none" w="med" len="med"/>
          <a:tailEnd type="none" w="med" len="med"/>
        </a:ln>
      </xdr:spPr>
      <xdr:style>
        <a:lnRef idx="1">
          <a:schemeClr val="accent5"/>
        </a:lnRef>
        <a:fillRef idx="3">
          <a:schemeClr val="accent5"/>
        </a:fillRef>
        <a:effectRef idx="2">
          <a:schemeClr val="accent5"/>
        </a:effectRef>
        <a:fontRef idx="minor">
          <a:schemeClr val="lt1"/>
        </a:fontRef>
      </xdr:style>
      <xdr:txBody>
        <a:bodyPr vertOverflow="clip" wrap="square" lIns="18288" tIns="0" rIns="0" bIns="0" rtlCol="0" anchor="ctr" upright="1"/>
        <a:lstStyle/>
        <a:p>
          <a:pPr algn="ctr"/>
          <a:r>
            <a:rPr lang="en-US" sz="1400" b="1"/>
            <a:t>1. Create MLI's</a:t>
          </a:r>
        </a:p>
      </xdr:txBody>
    </xdr:sp>
    <xdr:clientData/>
  </xdr:twoCellAnchor>
  <xdr:twoCellAnchor>
    <xdr:from>
      <xdr:col>3</xdr:col>
      <xdr:colOff>415636</xdr:colOff>
      <xdr:row>6</xdr:row>
      <xdr:rowOff>181841</xdr:rowOff>
    </xdr:from>
    <xdr:to>
      <xdr:col>4</xdr:col>
      <xdr:colOff>1318253</xdr:colOff>
      <xdr:row>9</xdr:row>
      <xdr:rowOff>158981</xdr:rowOff>
    </xdr:to>
    <xdr:sp macro="[0]!ExportMLI" textlink="">
      <xdr:nvSpPr>
        <xdr:cNvPr id="5" name="Rectangle: Rounded Corners 4">
          <a:extLst>
            <a:ext uri="{FF2B5EF4-FFF2-40B4-BE49-F238E27FC236}">
              <a16:creationId xmlns:a16="http://schemas.microsoft.com/office/drawing/2014/main" id="{FD616BA6-4222-43C1-B6D8-BC449795C324}"/>
            </a:ext>
          </a:extLst>
        </xdr:cNvPr>
        <xdr:cNvSpPr/>
      </xdr:nvSpPr>
      <xdr:spPr bwMode="auto">
        <a:xfrm>
          <a:off x="3905250" y="1801091"/>
          <a:ext cx="2288071" cy="548640"/>
        </a:xfrm>
        <a:prstGeom prst="roundRect">
          <a:avLst/>
        </a:prstGeom>
        <a:ln>
          <a:headEnd type="none" w="med" len="med"/>
          <a:tailEnd type="none" w="med" len="med"/>
        </a:ln>
      </xdr:spPr>
      <xdr:style>
        <a:lnRef idx="1">
          <a:schemeClr val="accent2"/>
        </a:lnRef>
        <a:fillRef idx="3">
          <a:schemeClr val="accent2"/>
        </a:fillRef>
        <a:effectRef idx="2">
          <a:schemeClr val="accent2"/>
        </a:effectRef>
        <a:fontRef idx="minor">
          <a:schemeClr val="lt1"/>
        </a:fontRef>
      </xdr:style>
      <xdr:txBody>
        <a:bodyPr vertOverflow="clip" wrap="square" lIns="18288" tIns="0" rIns="0" bIns="0" rtlCol="0" anchor="ctr" upright="1"/>
        <a:lstStyle/>
        <a:p>
          <a:pPr algn="ctr"/>
          <a:r>
            <a:rPr lang="en-US" sz="1400" b="1"/>
            <a:t>2. Export CSV</a:t>
          </a:r>
          <a:endParaRPr lang="en-US" sz="1100" b="1"/>
        </a:p>
      </xdr:txBody>
    </xdr:sp>
    <xdr:clientData/>
  </xdr:twoCellAnchor>
</xdr:wsDr>
</file>

<file path=xl/persons/person.xml><?xml version="1.0" encoding="utf-8"?>
<personList xmlns="http://schemas.microsoft.com/office/spreadsheetml/2018/threadedcomments" xmlns:x="http://schemas.openxmlformats.org/spreadsheetml/2006/main">
  <person displayName="Maxwell Carls" id="{455B31BD-7D14-49E9-B30B-7DD8AF56B6BE}" userId="S::maxwell.carls@clearesult.com::ca1f0fef-87ed-4b9a-8acd-77b211c3f541" providerId="AD"/>
  <person displayName="Joshua Chiwuzie" id="{F1A5969D-4E6D-46DE-A9E5-E33558ECD1BA}" userId="S::joshua.chiwuzie@clearesult.com::734abddc-f18b-4826-b63a-d185e66c99af"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2000000}" name="OKZONE" displayName="OKZONE" ref="D2:E79" totalsRowShown="0">
  <autoFilter ref="D2:E79" xr:uid="{00000000-0009-0000-0100-000007000000}"/>
  <tableColumns count="2">
    <tableColumn id="1" xr3:uid="{00000000-0010-0000-0200-000001000000}" name="County"/>
    <tableColumn id="2" xr3:uid="{00000000-0010-0000-0200-000002000000}" name="Zone"/>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3000000}" name="ARZONE" displayName="ARZONE" ref="A2:B77" totalsRowShown="0">
  <autoFilter ref="A2:B77" xr:uid="{00000000-0009-0000-0100-000014000000}"/>
  <tableColumns count="2">
    <tableColumn id="1" xr3:uid="{00000000-0010-0000-0300-000001000000}" name="County"/>
    <tableColumn id="2" xr3:uid="{00000000-0010-0000-0300-000002000000}" name="Zone"/>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4000000}" name="TXZONE" displayName="TXZONE" ref="G2:H257" totalsRowShown="0">
  <autoFilter ref="G2:H257" xr:uid="{00000000-0009-0000-0100-000015000000}"/>
  <tableColumns count="2">
    <tableColumn id="1" xr3:uid="{00000000-0010-0000-0400-000001000000}" name="County"/>
    <tableColumn id="2" xr3:uid="{00000000-0010-0000-0400-000002000000}" name="Zone"/>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X_EFLHSanAntonio" displayName="TX_EFLHSanAntonio" ref="F3:U31" totalsRowShown="0" headerRowDxfId="18" dataDxfId="16" headerRowBorderDxfId="17">
  <autoFilter ref="F3:U31" xr:uid="{00000000-0009-0000-0100-000016000000}"/>
  <tableColumns count="16">
    <tableColumn id="1" xr3:uid="{00000000-0010-0000-1500-000001000000}" name="Building Type" dataDxfId="15"/>
    <tableColumn id="2" xr3:uid="{00000000-0010-0000-1500-000002000000}" name="CFAir Cooled Chiller" dataDxfId="14"/>
    <tableColumn id="3" xr3:uid="{00000000-0010-0000-1500-000003000000}" name="CFWater Cooled Chiller" dataDxfId="13"/>
    <tableColumn id="4" xr3:uid="{00000000-0010-0000-1500-000004000000}" name="CFDX" dataDxfId="12"/>
    <tableColumn id="6" xr3:uid="{00000000-0010-0000-1500-000006000000}" name="CFPTRoom" dataDxfId="11"/>
    <tableColumn id="8" xr3:uid="{00000000-0010-0000-1500-000008000000}" name="NCPAir Cooled Chiller" dataDxfId="10"/>
    <tableColumn id="9" xr3:uid="{00000000-0010-0000-1500-000009000000}" name="NCPWater Cooled Chiller" dataDxfId="9"/>
    <tableColumn id="10" xr3:uid="{00000000-0010-0000-1500-00000A000000}" name="NCPDX" dataDxfId="8"/>
    <tableColumn id="12" xr3:uid="{00000000-0010-0000-1500-00000C000000}" name="NCPPTRoom" dataDxfId="7"/>
    <tableColumn id="14" xr3:uid="{00000000-0010-0000-1500-00000E000000}" name="EFLHcAir Cooled Chiller" dataDxfId="6"/>
    <tableColumn id="15" xr3:uid="{00000000-0010-0000-1500-00000F000000}" name="EFLHcWater Cooled Chiller" dataDxfId="5"/>
    <tableColumn id="16" xr3:uid="{00000000-0010-0000-1500-000010000000}" name="EFLHcDX" dataDxfId="4"/>
    <tableColumn id="18" xr3:uid="{00000000-0010-0000-1500-000012000000}" name="EFLHcPTRoom" dataDxfId="3"/>
    <tableColumn id="20" xr3:uid="{00000000-0010-0000-1500-000014000000}" name="EFLHhDX" dataDxfId="2"/>
    <tableColumn id="21" xr3:uid="{00000000-0010-0000-1500-000015000000}" name="EFLHhPTRoom" dataDxfId="1"/>
    <tableColumn id="5" xr3:uid="{A04A6524-161E-4FC4-822A-D7A3BCF9DD49}" name="Column1" dataDxfId="0"/>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ln>
          <a:headEnd type="none" w="med" len="med"/>
          <a:tailEnd type="none" w="med" len="med"/>
        </a:ln>
      </a:spPr>
      <a:bodyPr vertOverflow="clip" horzOverflow="clip" wrap="square" lIns="18288" tIns="0" rIns="0" bIns="0" rtlCol="0" anchor="ctr" upright="1"/>
      <a:lstStyle>
        <a:defPPr algn="ctr">
          <a:defRPr sz="1600"/>
        </a:defPPr>
      </a:lstStyle>
      <a:style>
        <a:lnRef idx="0">
          <a:schemeClr val="accent6"/>
        </a:lnRef>
        <a:fillRef idx="3">
          <a:schemeClr val="accent6"/>
        </a:fillRef>
        <a:effectRef idx="3">
          <a:schemeClr val="accent6"/>
        </a:effectRef>
        <a:fontRef idx="minor">
          <a:schemeClr val="lt1"/>
        </a:fontRef>
      </a:style>
    </a:sp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3" dT="2025-03-25T19:48:23.81" personId="{455B31BD-7D14-49E9-B30B-7DD8AF56B6BE}" id="{8CB36471-6E21-4825-BC07-5AA2DB65C93B}">
    <text>Lessthan45kbtuh updated to Lessthan65kbtuh (&lt; 5.4 tons) to match CPS guidebook</text>
  </threadedComment>
  <threadedComment ref="L3" dT="2025-03-25T20:56:21.45" personId="{455B31BD-7D14-49E9-B30B-7DD8AF56B6BE}" id="{295F9B4C-FB53-4A7A-B902-05903F76CAF7}">
    <text>Full-Load is &gt;=3.75 and &gt;5.4
Part-Load is &gt;5.4</text>
  </threadedComment>
  <threadedComment ref="L3" dT="2025-03-27T16:59:10.60" personId="{F1A5969D-4E6D-46DE-A9E5-E33558ECD1BA}" id="{B3586DB8-991F-444A-AD13-89097B8F3F2D}" parentId="{295F9B4C-FB53-4A7A-B902-05903F76CAF7}">
    <text xml:space="preserve">Just a correction. Full-Load is &gt;=3.75 and &lt;5.4
Part-Load is &lt;5.4
</text>
  </threadedComment>
  <threadedComment ref="P3" dT="2025-03-25T20:50:27.50" personId="{455B31BD-7D14-49E9-B30B-7DD8AF56B6BE}" id="{A2972304-64DB-4FEE-AEB2-804C0D3E2705}">
    <text>Capacity range no longer used. Packaged ACs only split by Less Than 65k btu/5.4tons</text>
  </threadedComment>
  <threadedComment ref="BR3" dT="2025-03-26T21:01:34.83" personId="{455B31BD-7D14-49E9-B30B-7DD8AF56B6BE}" id="{DF169D09-01D9-4682-8533-86F1C6D50501}">
    <text>Updated from Lessthan45kbtuh to Lessthan65kbtuh to match CPS guidebook categories</text>
  </threadedComment>
  <threadedComment ref="BX3" dT="2025-03-26T21:08:59.00" personId="{455B31BD-7D14-49E9-B30B-7DD8AF56B6BE}" id="{F90C15EE-E12D-4257-9872-E36FF675D969}">
    <text>Updated from Lessthan45kbtuh to Lessthan65kbtuh to match CPS guidebook categories</text>
  </threadedComment>
  <threadedComment ref="CD3" dT="2025-03-26T21:17:09.92" personId="{455B31BD-7D14-49E9-B30B-7DD8AF56B6BE}" id="{219A73C2-5891-4531-B625-3F46D1EAFB3A}">
    <text>Range not used in 2026 CPS Guidebook</text>
  </threadedComment>
  <threadedComment ref="CJ3" dT="2025-03-26T21:17:27.34" personId="{455B31BD-7D14-49E9-B30B-7DD8AF56B6BE}" id="{C309D57C-A648-4C3F-BDA7-B9CF5B4FE4C0}">
    <text>Range not used in 2026 CPS Guidebook</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9.bin"/><Relationship Id="rId4" Type="http://schemas.microsoft.com/office/2017/10/relationships/threadedComment" Target="../threadedComments/threadedComment1.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s>
</file>

<file path=xl/worksheets/_rels/sheet20.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2.vml"/><Relationship Id="rId1" Type="http://schemas.openxmlformats.org/officeDocument/2006/relationships/printerSettings" Target="../printerSettings/printerSettings16.bin"/><Relationship Id="rId4" Type="http://schemas.openxmlformats.org/officeDocument/2006/relationships/comments" Target="../comments2.x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460DF4-8AA5-4A49-955E-D96F7566BFE3}">
  <sheetPr codeName="Sheet23">
    <tabColor rgb="FFFFC000"/>
  </sheetPr>
  <dimension ref="A1:Q81"/>
  <sheetViews>
    <sheetView workbookViewId="0">
      <selection activeCell="A3" sqref="A3:M4"/>
    </sheetView>
  </sheetViews>
  <sheetFormatPr defaultColWidth="9.140625" defaultRowHeight="12.75" x14ac:dyDescent="0.2"/>
  <cols>
    <col min="1" max="2" width="4.7109375" style="431" customWidth="1"/>
    <col min="3" max="14" width="8.7109375" style="431" customWidth="1"/>
    <col min="15" max="16384" width="9.140625" style="431"/>
  </cols>
  <sheetData>
    <row r="1" spans="1:13" ht="2.1" customHeight="1" x14ac:dyDescent="0.2">
      <c r="A1" s="443">
        <v>1</v>
      </c>
    </row>
    <row r="2" spans="1:13" ht="35.1" customHeight="1" x14ac:dyDescent="0.4">
      <c r="A2" s="430" t="s">
        <v>1121</v>
      </c>
    </row>
    <row r="3" spans="1:13" x14ac:dyDescent="0.2">
      <c r="A3" s="838" t="s">
        <v>1122</v>
      </c>
      <c r="B3" s="838"/>
      <c r="C3" s="838"/>
      <c r="D3" s="838"/>
      <c r="E3" s="838"/>
      <c r="F3" s="838"/>
      <c r="G3" s="838"/>
      <c r="H3" s="838"/>
      <c r="I3" s="838"/>
      <c r="J3" s="838"/>
      <c r="K3" s="838"/>
      <c r="L3" s="838"/>
      <c r="M3" s="838"/>
    </row>
    <row r="4" spans="1:13" x14ac:dyDescent="0.2">
      <c r="A4" s="838"/>
      <c r="B4" s="838"/>
      <c r="C4" s="838"/>
      <c r="D4" s="838"/>
      <c r="E4" s="838"/>
      <c r="F4" s="838"/>
      <c r="G4" s="838"/>
      <c r="H4" s="838"/>
      <c r="I4" s="838"/>
      <c r="J4" s="838"/>
      <c r="K4" s="838"/>
      <c r="L4" s="838"/>
      <c r="M4" s="838"/>
    </row>
    <row r="6" spans="1:13" ht="15.75" x14ac:dyDescent="0.25">
      <c r="A6" s="433" t="s">
        <v>1123</v>
      </c>
    </row>
    <row r="7" spans="1:13" ht="6.95" customHeight="1" x14ac:dyDescent="0.2"/>
    <row r="8" spans="1:13" x14ac:dyDescent="0.2">
      <c r="B8" s="434" t="s">
        <v>1124</v>
      </c>
      <c r="C8" s="434"/>
      <c r="D8" s="434"/>
      <c r="E8" s="434"/>
      <c r="F8" s="434"/>
      <c r="G8" s="434"/>
      <c r="H8" s="434"/>
      <c r="I8" s="434"/>
      <c r="J8" s="434"/>
      <c r="K8" s="434"/>
      <c r="L8" s="434"/>
      <c r="M8" s="434"/>
    </row>
    <row r="25" spans="1:13" ht="15.75" x14ac:dyDescent="0.25">
      <c r="A25" s="433" t="s">
        <v>1125</v>
      </c>
    </row>
    <row r="26" spans="1:13" ht="6.95" customHeight="1" x14ac:dyDescent="0.2"/>
    <row r="27" spans="1:13" x14ac:dyDescent="0.2">
      <c r="A27" s="435" t="s">
        <v>1008</v>
      </c>
      <c r="B27" s="839" t="s">
        <v>1127</v>
      </c>
      <c r="C27" s="840"/>
      <c r="D27" s="840"/>
      <c r="E27" s="840"/>
      <c r="F27" s="840"/>
      <c r="G27" s="840"/>
      <c r="H27" s="840"/>
      <c r="I27" s="840"/>
      <c r="J27" s="840"/>
      <c r="K27" s="840"/>
      <c r="L27" s="840"/>
      <c r="M27" s="840"/>
    </row>
    <row r="28" spans="1:13" x14ac:dyDescent="0.2">
      <c r="A28" s="435"/>
      <c r="B28" s="839"/>
      <c r="C28" s="840"/>
      <c r="D28" s="840"/>
      <c r="E28" s="840"/>
      <c r="F28" s="840"/>
      <c r="G28" s="840"/>
      <c r="H28" s="840"/>
      <c r="I28" s="840"/>
      <c r="J28" s="840"/>
      <c r="K28" s="840"/>
      <c r="L28" s="840"/>
      <c r="M28" s="840"/>
    </row>
    <row r="29" spans="1:13" x14ac:dyDescent="0.2">
      <c r="B29" s="840"/>
      <c r="C29" s="840"/>
      <c r="D29" s="840"/>
      <c r="E29" s="840"/>
      <c r="F29" s="840"/>
      <c r="G29" s="840"/>
      <c r="H29" s="840"/>
      <c r="I29" s="840"/>
      <c r="J29" s="840"/>
      <c r="K29" s="840"/>
      <c r="L29" s="840"/>
      <c r="M29" s="840"/>
    </row>
    <row r="30" spans="1:13" ht="249.95" customHeight="1" x14ac:dyDescent="0.2"/>
    <row r="31" spans="1:13" ht="6.95" customHeight="1" x14ac:dyDescent="0.2"/>
    <row r="32" spans="1:13" x14ac:dyDescent="0.2">
      <c r="A32" s="435" t="s">
        <v>1008</v>
      </c>
      <c r="B32" s="431" t="s">
        <v>1160</v>
      </c>
    </row>
    <row r="34" spans="1:17" ht="15.75" x14ac:dyDescent="0.25">
      <c r="A34" s="433" t="s">
        <v>1126</v>
      </c>
    </row>
    <row r="35" spans="1:17" ht="6.95" customHeight="1" x14ac:dyDescent="0.2"/>
    <row r="36" spans="1:17" ht="12.75" customHeight="1" x14ac:dyDescent="0.2">
      <c r="A36" s="439" t="s">
        <v>1140</v>
      </c>
    </row>
    <row r="37" spans="1:17" ht="12.75" customHeight="1" x14ac:dyDescent="0.2">
      <c r="A37" s="435" t="s">
        <v>1008</v>
      </c>
      <c r="B37" s="431" t="s">
        <v>1141</v>
      </c>
    </row>
    <row r="38" spans="1:17" ht="12.75" customHeight="1" x14ac:dyDescent="0.2">
      <c r="A38" s="435" t="s">
        <v>1008</v>
      </c>
      <c r="B38" s="838" t="s">
        <v>1142</v>
      </c>
      <c r="C38" s="838"/>
      <c r="D38" s="838"/>
      <c r="E38" s="838"/>
      <c r="F38" s="838"/>
      <c r="G38" s="838"/>
      <c r="H38" s="838"/>
      <c r="I38" s="838"/>
      <c r="J38" s="838"/>
      <c r="K38" s="838"/>
      <c r="L38" s="838"/>
      <c r="M38" s="838"/>
      <c r="N38" s="838"/>
      <c r="O38" s="838"/>
      <c r="P38" s="838"/>
      <c r="Q38" s="838"/>
    </row>
    <row r="39" spans="1:17" ht="12.75" customHeight="1" x14ac:dyDescent="0.2">
      <c r="B39" s="838"/>
      <c r="C39" s="838"/>
      <c r="D39" s="838"/>
      <c r="E39" s="838"/>
      <c r="F39" s="838"/>
      <c r="G39" s="838"/>
      <c r="H39" s="838"/>
      <c r="I39" s="838"/>
      <c r="J39" s="838"/>
      <c r="K39" s="838"/>
      <c r="L39" s="838"/>
      <c r="M39" s="838"/>
      <c r="N39" s="838"/>
      <c r="O39" s="838"/>
      <c r="P39" s="838"/>
      <c r="Q39" s="838"/>
    </row>
    <row r="40" spans="1:17" ht="115.5" customHeight="1" x14ac:dyDescent="0.2">
      <c r="B40" s="432"/>
      <c r="C40" s="432"/>
      <c r="D40" s="432"/>
      <c r="E40" s="432"/>
      <c r="F40" s="432"/>
      <c r="G40" s="432"/>
      <c r="H40" s="432"/>
      <c r="I40" s="432"/>
      <c r="J40" s="432"/>
      <c r="K40" s="432"/>
      <c r="L40" s="432"/>
      <c r="M40" s="432"/>
    </row>
    <row r="41" spans="1:17" s="439" customFormat="1" x14ac:dyDescent="0.2">
      <c r="A41" s="438" t="s">
        <v>1128</v>
      </c>
      <c r="B41" s="439" t="s">
        <v>1129</v>
      </c>
    </row>
    <row r="42" spans="1:17" x14ac:dyDescent="0.2">
      <c r="B42" s="436" t="s">
        <v>1130</v>
      </c>
      <c r="C42" s="431" t="s">
        <v>1134</v>
      </c>
    </row>
    <row r="43" spans="1:17" x14ac:dyDescent="0.2">
      <c r="B43" s="436" t="s">
        <v>1131</v>
      </c>
      <c r="C43" s="431" t="s">
        <v>1133</v>
      </c>
    </row>
    <row r="44" spans="1:17" x14ac:dyDescent="0.2">
      <c r="B44" s="436" t="s">
        <v>1132</v>
      </c>
      <c r="C44" s="431" t="s">
        <v>1135</v>
      </c>
    </row>
    <row r="45" spans="1:17" x14ac:dyDescent="0.2">
      <c r="A45" s="438" t="s">
        <v>1136</v>
      </c>
      <c r="B45" s="437" t="s">
        <v>1138</v>
      </c>
    </row>
    <row r="46" spans="1:17" x14ac:dyDescent="0.2">
      <c r="A46" s="438" t="s">
        <v>1137</v>
      </c>
      <c r="B46" s="431" t="s">
        <v>1139</v>
      </c>
    </row>
    <row r="47" spans="1:17" x14ac:dyDescent="0.2">
      <c r="B47" s="435" t="s">
        <v>1130</v>
      </c>
      <c r="C47" s="431" t="s">
        <v>1204</v>
      </c>
    </row>
    <row r="48" spans="1:17" x14ac:dyDescent="0.2">
      <c r="B48" s="435" t="s">
        <v>1131</v>
      </c>
      <c r="C48" s="431" t="s">
        <v>1145</v>
      </c>
    </row>
    <row r="49" spans="1:17" x14ac:dyDescent="0.2">
      <c r="B49" s="435" t="s">
        <v>1132</v>
      </c>
      <c r="C49" s="431" t="s">
        <v>1157</v>
      </c>
    </row>
    <row r="50" spans="1:17" x14ac:dyDescent="0.2">
      <c r="B50" s="435" t="s">
        <v>1148</v>
      </c>
      <c r="C50" s="431" t="s">
        <v>1158</v>
      </c>
    </row>
    <row r="51" spans="1:17" ht="105" customHeight="1" x14ac:dyDescent="0.2"/>
    <row r="52" spans="1:17" x14ac:dyDescent="0.2">
      <c r="A52" s="438" t="s">
        <v>1143</v>
      </c>
      <c r="B52" s="431" t="s">
        <v>1144</v>
      </c>
    </row>
    <row r="53" spans="1:17" x14ac:dyDescent="0.2">
      <c r="B53" s="436" t="s">
        <v>1130</v>
      </c>
      <c r="C53" s="431" t="s">
        <v>1205</v>
      </c>
    </row>
    <row r="54" spans="1:17" x14ac:dyDescent="0.2">
      <c r="B54" s="436" t="s">
        <v>1131</v>
      </c>
      <c r="C54" s="431" t="s">
        <v>1145</v>
      </c>
    </row>
    <row r="55" spans="1:17" x14ac:dyDescent="0.2">
      <c r="C55" s="435" t="s">
        <v>1008</v>
      </c>
      <c r="D55" s="431" t="s">
        <v>1146</v>
      </c>
    </row>
    <row r="56" spans="1:17" x14ac:dyDescent="0.2">
      <c r="B56" s="440"/>
      <c r="C56" s="435" t="s">
        <v>1008</v>
      </c>
      <c r="D56" s="431" t="s">
        <v>1147</v>
      </c>
    </row>
    <row r="57" spans="1:17" ht="12.75" customHeight="1" x14ac:dyDescent="0.2">
      <c r="B57" s="436" t="s">
        <v>1132</v>
      </c>
      <c r="C57" s="838" t="s">
        <v>1206</v>
      </c>
      <c r="D57" s="838"/>
      <c r="E57" s="838"/>
      <c r="F57" s="838"/>
      <c r="G57" s="838"/>
      <c r="H57" s="838"/>
      <c r="I57" s="838"/>
      <c r="J57" s="838"/>
      <c r="K57" s="838"/>
      <c r="L57" s="838"/>
      <c r="M57" s="838"/>
      <c r="N57" s="838"/>
      <c r="O57" s="838"/>
      <c r="P57" s="838"/>
      <c r="Q57" s="838"/>
    </row>
    <row r="58" spans="1:17" x14ac:dyDescent="0.2">
      <c r="B58" s="436"/>
      <c r="C58" s="838"/>
      <c r="D58" s="838"/>
      <c r="E58" s="838"/>
      <c r="F58" s="838"/>
      <c r="G58" s="838"/>
      <c r="H58" s="838"/>
      <c r="I58" s="838"/>
      <c r="J58" s="838"/>
      <c r="K58" s="838"/>
      <c r="L58" s="838"/>
      <c r="M58" s="838"/>
      <c r="N58" s="838"/>
      <c r="O58" s="838"/>
      <c r="P58" s="838"/>
      <c r="Q58" s="838"/>
    </row>
    <row r="59" spans="1:17" ht="12.75" customHeight="1" x14ac:dyDescent="0.2">
      <c r="B59" s="436" t="s">
        <v>1148</v>
      </c>
      <c r="C59" s="840" t="s">
        <v>1149</v>
      </c>
      <c r="D59" s="840"/>
      <c r="E59" s="840"/>
      <c r="F59" s="840"/>
      <c r="G59" s="840"/>
      <c r="H59" s="840"/>
      <c r="I59" s="840"/>
      <c r="J59" s="840"/>
      <c r="K59" s="840"/>
      <c r="L59" s="840"/>
      <c r="M59" s="840"/>
      <c r="N59" s="840"/>
      <c r="O59" s="840"/>
      <c r="P59" s="840"/>
      <c r="Q59" s="840"/>
    </row>
    <row r="60" spans="1:17" x14ac:dyDescent="0.2">
      <c r="B60" s="436"/>
      <c r="C60" s="840"/>
      <c r="D60" s="840"/>
      <c r="E60" s="840"/>
      <c r="F60" s="840"/>
      <c r="G60" s="840"/>
      <c r="H60" s="840"/>
      <c r="I60" s="840"/>
      <c r="J60" s="840"/>
      <c r="K60" s="840"/>
      <c r="L60" s="840"/>
      <c r="M60" s="840"/>
      <c r="N60" s="840"/>
      <c r="O60" s="840"/>
      <c r="P60" s="840"/>
      <c r="Q60" s="840"/>
    </row>
    <row r="61" spans="1:17" x14ac:dyDescent="0.2">
      <c r="B61" s="436" t="s">
        <v>1150</v>
      </c>
      <c r="C61" s="431" t="s">
        <v>1207</v>
      </c>
    </row>
    <row r="62" spans="1:17" x14ac:dyDescent="0.2">
      <c r="B62" s="436"/>
      <c r="C62" s="435" t="s">
        <v>1008</v>
      </c>
      <c r="D62" s="838" t="s">
        <v>1161</v>
      </c>
      <c r="E62" s="838"/>
      <c r="F62" s="838"/>
      <c r="G62" s="838"/>
      <c r="H62" s="838"/>
      <c r="I62" s="838"/>
      <c r="J62" s="838"/>
      <c r="K62" s="838"/>
      <c r="L62" s="838"/>
      <c r="M62" s="838"/>
      <c r="N62" s="838"/>
      <c r="O62" s="838"/>
      <c r="P62" s="838"/>
      <c r="Q62" s="838"/>
    </row>
    <row r="63" spans="1:17" x14ac:dyDescent="0.2">
      <c r="B63" s="436"/>
      <c r="C63" s="435"/>
      <c r="D63" s="838"/>
      <c r="E63" s="838"/>
      <c r="F63" s="838"/>
      <c r="G63" s="838"/>
      <c r="H63" s="838"/>
      <c r="I63" s="838"/>
      <c r="J63" s="838"/>
      <c r="K63" s="838"/>
      <c r="L63" s="838"/>
      <c r="M63" s="838"/>
      <c r="N63" s="838"/>
      <c r="O63" s="838"/>
      <c r="P63" s="838"/>
      <c r="Q63" s="838"/>
    </row>
    <row r="64" spans="1:17" x14ac:dyDescent="0.2">
      <c r="C64" s="435" t="s">
        <v>1008</v>
      </c>
      <c r="D64" s="431" t="s">
        <v>1208</v>
      </c>
    </row>
    <row r="65" spans="1:17" x14ac:dyDescent="0.2">
      <c r="C65" s="435" t="s">
        <v>1008</v>
      </c>
      <c r="D65" s="431" t="s">
        <v>1209</v>
      </c>
    </row>
    <row r="66" spans="1:17" x14ac:dyDescent="0.2">
      <c r="B66" s="436" t="s">
        <v>1151</v>
      </c>
      <c r="C66" s="431" t="s">
        <v>1152</v>
      </c>
    </row>
    <row r="67" spans="1:17" x14ac:dyDescent="0.2">
      <c r="B67" s="436" t="s">
        <v>1153</v>
      </c>
      <c r="C67" s="431" t="s">
        <v>1154</v>
      </c>
    </row>
    <row r="69" spans="1:17" x14ac:dyDescent="0.2">
      <c r="A69" s="439" t="s">
        <v>1155</v>
      </c>
    </row>
    <row r="70" spans="1:17" ht="12.75" customHeight="1" x14ac:dyDescent="0.2">
      <c r="A70" s="435" t="s">
        <v>1008</v>
      </c>
      <c r="B70" s="838" t="s">
        <v>1211</v>
      </c>
      <c r="C70" s="838"/>
      <c r="D70" s="838"/>
      <c r="E70" s="838"/>
      <c r="F70" s="838"/>
      <c r="G70" s="838"/>
      <c r="H70" s="838"/>
      <c r="I70" s="838"/>
      <c r="J70" s="838"/>
      <c r="K70" s="838"/>
      <c r="L70" s="838"/>
      <c r="M70" s="838"/>
      <c r="N70" s="838"/>
      <c r="O70" s="838"/>
      <c r="P70" s="838"/>
      <c r="Q70" s="838"/>
    </row>
    <row r="71" spans="1:17" x14ac:dyDescent="0.2">
      <c r="A71" s="435"/>
      <c r="B71" s="838"/>
      <c r="C71" s="838"/>
      <c r="D71" s="838"/>
      <c r="E71" s="838"/>
      <c r="F71" s="838"/>
      <c r="G71" s="838"/>
      <c r="H71" s="838"/>
      <c r="I71" s="838"/>
      <c r="J71" s="838"/>
      <c r="K71" s="838"/>
      <c r="L71" s="838"/>
      <c r="M71" s="838"/>
      <c r="N71" s="838"/>
      <c r="O71" s="838"/>
      <c r="P71" s="838"/>
      <c r="Q71" s="838"/>
    </row>
    <row r="72" spans="1:17" ht="91.5" customHeight="1" x14ac:dyDescent="0.2">
      <c r="A72" s="435"/>
    </row>
    <row r="73" spans="1:17" ht="12.75" customHeight="1" x14ac:dyDescent="0.2">
      <c r="A73" s="435" t="s">
        <v>1008</v>
      </c>
      <c r="B73" s="841" t="s">
        <v>1156</v>
      </c>
      <c r="C73" s="841"/>
      <c r="D73" s="841"/>
      <c r="E73" s="841"/>
      <c r="F73" s="841"/>
      <c r="G73" s="841"/>
      <c r="H73" s="841"/>
      <c r="I73" s="841"/>
      <c r="J73" s="841"/>
      <c r="K73" s="841"/>
      <c r="L73" s="841"/>
      <c r="M73" s="841"/>
      <c r="N73" s="841"/>
      <c r="O73" s="841"/>
      <c r="P73" s="841"/>
      <c r="Q73" s="841"/>
    </row>
    <row r="74" spans="1:17" x14ac:dyDescent="0.2">
      <c r="A74" s="436"/>
      <c r="B74" s="841"/>
      <c r="C74" s="841"/>
      <c r="D74" s="841"/>
      <c r="E74" s="841"/>
      <c r="F74" s="841"/>
      <c r="G74" s="841"/>
      <c r="H74" s="841"/>
      <c r="I74" s="841"/>
      <c r="J74" s="841"/>
      <c r="K74" s="841"/>
      <c r="L74" s="841"/>
      <c r="M74" s="841"/>
      <c r="N74" s="841"/>
      <c r="O74" s="841"/>
      <c r="P74" s="841"/>
      <c r="Q74" s="841"/>
    </row>
    <row r="75" spans="1:17" ht="12.75" customHeight="1" x14ac:dyDescent="0.2">
      <c r="A75" s="435" t="s">
        <v>1008</v>
      </c>
      <c r="B75" s="838" t="s">
        <v>1159</v>
      </c>
      <c r="C75" s="838"/>
      <c r="D75" s="838"/>
      <c r="E75" s="838"/>
      <c r="F75" s="838"/>
      <c r="G75" s="838"/>
      <c r="H75" s="838"/>
      <c r="I75" s="838"/>
      <c r="J75" s="838"/>
      <c r="K75" s="838"/>
      <c r="L75" s="838"/>
      <c r="M75" s="838"/>
      <c r="N75" s="838"/>
      <c r="O75" s="838"/>
      <c r="P75" s="838"/>
      <c r="Q75" s="838"/>
    </row>
    <row r="76" spans="1:17" x14ac:dyDescent="0.2">
      <c r="A76" s="436"/>
      <c r="B76" s="838"/>
      <c r="C76" s="838"/>
      <c r="D76" s="838"/>
      <c r="E76" s="838"/>
      <c r="F76" s="838"/>
      <c r="G76" s="838"/>
      <c r="H76" s="838"/>
      <c r="I76" s="838"/>
      <c r="J76" s="838"/>
      <c r="K76" s="838"/>
      <c r="L76" s="838"/>
      <c r="M76" s="838"/>
      <c r="N76" s="838"/>
      <c r="O76" s="838"/>
      <c r="P76" s="838"/>
      <c r="Q76" s="838"/>
    </row>
    <row r="77" spans="1:17" x14ac:dyDescent="0.2">
      <c r="A77" s="436"/>
    </row>
    <row r="78" spans="1:17" x14ac:dyDescent="0.2">
      <c r="A78" s="436"/>
    </row>
    <row r="79" spans="1:17" x14ac:dyDescent="0.2">
      <c r="A79" s="436"/>
    </row>
    <row r="80" spans="1:17" x14ac:dyDescent="0.2">
      <c r="A80" s="436"/>
    </row>
    <row r="81" spans="1:1" x14ac:dyDescent="0.2">
      <c r="A81" s="436"/>
    </row>
  </sheetData>
  <sheetProtection algorithmName="SHA-512" hashValue="twsTkAxFs7u4orMIHMPlDWU/iOImScgz9gRja8hstm5RY88WuuBGK3iKixccBDSYfSeXwyVMSMssQUrTq6ZsGQ==" saltValue="G9K5j4p2jgobUcfgOp0LEA==" spinCount="100000" sheet="1" objects="1" scenarios="1"/>
  <mergeCells count="9">
    <mergeCell ref="B75:Q76"/>
    <mergeCell ref="D62:Q63"/>
    <mergeCell ref="A3:M4"/>
    <mergeCell ref="B27:M29"/>
    <mergeCell ref="B38:Q39"/>
    <mergeCell ref="C57:Q58"/>
    <mergeCell ref="C59:Q60"/>
    <mergeCell ref="B70:Q71"/>
    <mergeCell ref="B73:Q74"/>
  </mergeCells>
  <pageMargins left="0.7" right="0.7" top="0.75" bottom="0.75" header="0.3" footer="0.3"/>
  <pageSetup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6" tint="-0.499984740745262"/>
  </sheetPr>
  <dimension ref="A1:Q26"/>
  <sheetViews>
    <sheetView tabSelected="1" workbookViewId="0">
      <selection activeCell="D2" sqref="D2:K2"/>
    </sheetView>
  </sheetViews>
  <sheetFormatPr defaultColWidth="9.140625" defaultRowHeight="14.25" x14ac:dyDescent="0.25"/>
  <cols>
    <col min="1" max="1" width="2.140625" style="142" customWidth="1"/>
    <col min="2" max="2" width="19.85546875" style="142" customWidth="1"/>
    <col min="3" max="5" width="10.7109375" style="142" customWidth="1"/>
    <col min="6" max="6" width="8.85546875" style="142" customWidth="1"/>
    <col min="7" max="7" width="9.140625" style="142" customWidth="1"/>
    <col min="8" max="8" width="2.140625" style="142" customWidth="1"/>
    <col min="9" max="10" width="20.7109375" style="142" customWidth="1"/>
    <col min="11" max="11" width="17.85546875" style="142" customWidth="1"/>
    <col min="12" max="12" width="2.140625" style="142" customWidth="1"/>
    <col min="13" max="14" width="9.140625" style="144" customWidth="1"/>
    <col min="15" max="15" width="9.140625" style="144" hidden="1" customWidth="1"/>
    <col min="16" max="17" width="10.7109375" style="144" hidden="1" customWidth="1"/>
    <col min="18" max="18" width="9.140625" style="144" customWidth="1"/>
    <col min="19" max="16384" width="9.140625" style="144"/>
  </cols>
  <sheetData>
    <row r="1" spans="1:12" ht="16.5" customHeight="1" x14ac:dyDescent="0.25">
      <c r="A1" s="444">
        <v>1</v>
      </c>
      <c r="B1" s="144"/>
      <c r="D1" s="247" t="str">
        <f>IF(OR(D7="",D8="",I7="",I8=""),"Please fill in highlighted cells to continue.","")</f>
        <v>Please fill in highlighted cells to continue.</v>
      </c>
      <c r="K1" s="143" t="s">
        <v>1558</v>
      </c>
    </row>
    <row r="2" spans="1:12" ht="30" customHeight="1" x14ac:dyDescent="0.25">
      <c r="A2" s="144"/>
      <c r="C2" s="145" t="s">
        <v>177</v>
      </c>
      <c r="D2" s="844"/>
      <c r="E2" s="844"/>
      <c r="F2" s="844"/>
      <c r="G2" s="844"/>
      <c r="H2" s="844"/>
      <c r="I2" s="844"/>
      <c r="J2" s="844"/>
      <c r="K2" s="844"/>
      <c r="L2" s="146"/>
    </row>
    <row r="3" spans="1:12" ht="30" customHeight="1" x14ac:dyDescent="0.25">
      <c r="A3" s="144"/>
      <c r="B3" s="145"/>
      <c r="C3" s="145" t="s">
        <v>1500</v>
      </c>
      <c r="D3" s="844"/>
      <c r="E3" s="844"/>
      <c r="F3" s="844"/>
      <c r="G3" s="844"/>
      <c r="H3" s="844"/>
      <c r="I3" s="844"/>
      <c r="J3" s="844"/>
      <c r="K3" s="844"/>
      <c r="L3" s="146"/>
    </row>
    <row r="4" spans="1:12" ht="30" customHeight="1" x14ac:dyDescent="0.25">
      <c r="A4" s="144"/>
      <c r="C4" s="145" t="s">
        <v>178</v>
      </c>
      <c r="D4" s="844"/>
      <c r="E4" s="844"/>
      <c r="F4" s="844"/>
      <c r="G4" s="844"/>
      <c r="H4" s="844"/>
      <c r="I4" s="844"/>
      <c r="J4" s="844"/>
      <c r="K4" s="844"/>
      <c r="L4" s="146"/>
    </row>
    <row r="5" spans="1:12" ht="30" customHeight="1" x14ac:dyDescent="0.25">
      <c r="A5" s="144"/>
      <c r="C5" s="145" t="s">
        <v>179</v>
      </c>
      <c r="D5" s="844"/>
      <c r="E5" s="844"/>
      <c r="F5" s="844"/>
      <c r="G5" s="844"/>
      <c r="H5" s="844"/>
      <c r="I5" s="844"/>
      <c r="J5" s="844"/>
      <c r="K5" s="844"/>
      <c r="L5" s="146"/>
    </row>
    <row r="6" spans="1:12" ht="9.75" customHeight="1" thickBot="1" x14ac:dyDescent="0.3">
      <c r="A6" s="144"/>
      <c r="C6" s="145"/>
      <c r="D6" s="147"/>
      <c r="E6" s="147"/>
      <c r="F6" s="147"/>
      <c r="G6" s="147"/>
      <c r="H6" s="147"/>
      <c r="I6" s="147"/>
      <c r="J6" s="147"/>
      <c r="K6" s="147"/>
      <c r="L6" s="146"/>
    </row>
    <row r="7" spans="1:12" ht="24" customHeight="1" thickBot="1" x14ac:dyDescent="0.3">
      <c r="A7" s="144"/>
      <c r="C7" s="146" t="s">
        <v>180</v>
      </c>
      <c r="D7" s="849"/>
      <c r="E7" s="850"/>
      <c r="F7" s="146"/>
      <c r="G7" s="146"/>
      <c r="H7" s="146" t="s">
        <v>1004</v>
      </c>
      <c r="I7" s="851"/>
      <c r="J7" s="852"/>
      <c r="L7" s="146"/>
    </row>
    <row r="8" spans="1:12" ht="24" customHeight="1" thickBot="1" x14ac:dyDescent="0.3">
      <c r="A8" s="144"/>
      <c r="C8" s="146" t="str">
        <f>IFERROR(IF('Project Info'!D7="LA","Parish:","County:"),"")</f>
        <v>County:</v>
      </c>
      <c r="D8" s="848"/>
      <c r="E8" s="848"/>
      <c r="F8" s="146"/>
      <c r="G8" s="146"/>
      <c r="H8" s="146" t="s">
        <v>1005</v>
      </c>
      <c r="I8" s="849"/>
      <c r="J8" s="850"/>
      <c r="L8" s="146"/>
    </row>
    <row r="9" spans="1:12" ht="24" customHeight="1" thickBot="1" x14ac:dyDescent="0.3">
      <c r="A9" s="144"/>
      <c r="C9" s="146" t="s">
        <v>1228</v>
      </c>
      <c r="D9" s="842"/>
      <c r="E9" s="843"/>
      <c r="F9" s="146"/>
      <c r="G9" s="146"/>
      <c r="H9" s="146"/>
      <c r="I9" s="144"/>
      <c r="J9" s="144"/>
      <c r="L9" s="146"/>
    </row>
    <row r="10" spans="1:12" ht="30" customHeight="1" x14ac:dyDescent="0.25">
      <c r="A10" s="144"/>
      <c r="C10" s="145" t="s">
        <v>182</v>
      </c>
      <c r="D10" s="844"/>
      <c r="E10" s="844"/>
      <c r="F10" s="844"/>
      <c r="G10" s="844"/>
      <c r="H10" s="844"/>
      <c r="I10" s="844"/>
      <c r="J10" s="844"/>
      <c r="K10" s="844"/>
      <c r="L10" s="146"/>
    </row>
    <row r="11" spans="1:12" ht="30" customHeight="1" x14ac:dyDescent="0.25">
      <c r="A11" s="144"/>
      <c r="C11" s="145" t="s">
        <v>183</v>
      </c>
      <c r="D11" s="845"/>
      <c r="E11" s="845"/>
      <c r="F11" s="146"/>
      <c r="H11" s="145" t="s">
        <v>184</v>
      </c>
      <c r="I11" s="844"/>
      <c r="J11" s="844"/>
      <c r="K11" s="844"/>
      <c r="L11" s="146"/>
    </row>
    <row r="12" spans="1:12" ht="30" customHeight="1" x14ac:dyDescent="0.25">
      <c r="A12" s="144"/>
      <c r="C12" s="145" t="s">
        <v>185</v>
      </c>
      <c r="D12" s="846"/>
      <c r="E12" s="846"/>
      <c r="F12" s="846"/>
      <c r="G12" s="148"/>
      <c r="H12" s="145"/>
      <c r="I12" s="145" t="s">
        <v>186</v>
      </c>
      <c r="J12" s="847"/>
      <c r="K12" s="847"/>
      <c r="L12" s="146"/>
    </row>
    <row r="13" spans="1:12" ht="30" customHeight="1" x14ac:dyDescent="0.25">
      <c r="A13" s="144"/>
      <c r="C13" s="145" t="s">
        <v>187</v>
      </c>
      <c r="D13" s="844"/>
      <c r="E13" s="844"/>
      <c r="F13" s="844"/>
      <c r="G13" s="844"/>
      <c r="H13" s="844"/>
      <c r="I13" s="844"/>
      <c r="J13" s="844"/>
      <c r="K13" s="844"/>
      <c r="L13" s="146"/>
    </row>
    <row r="14" spans="1:12" ht="30" customHeight="1" x14ac:dyDescent="0.25">
      <c r="A14" s="144"/>
      <c r="C14" s="145" t="s">
        <v>188</v>
      </c>
      <c r="D14" s="853"/>
      <c r="E14" s="853"/>
      <c r="F14" s="853"/>
      <c r="G14" s="853"/>
      <c r="H14" s="853"/>
      <c r="I14" s="853"/>
      <c r="J14" s="145" t="s">
        <v>189</v>
      </c>
      <c r="K14" s="149"/>
      <c r="L14" s="146"/>
    </row>
    <row r="15" spans="1:12" ht="20.100000000000001" customHeight="1" x14ac:dyDescent="0.25">
      <c r="A15" s="144"/>
      <c r="D15" s="150"/>
      <c r="E15" s="146"/>
      <c r="F15" s="146"/>
      <c r="G15" s="146"/>
      <c r="H15" s="146"/>
      <c r="I15" s="146"/>
      <c r="J15" s="146"/>
      <c r="K15" s="146"/>
      <c r="L15" s="146"/>
    </row>
    <row r="16" spans="1:12" ht="20.100000000000001" customHeight="1" x14ac:dyDescent="0.25">
      <c r="A16" s="144"/>
      <c r="B16" s="144"/>
      <c r="C16" s="145" t="s">
        <v>795</v>
      </c>
      <c r="D16" s="854"/>
      <c r="E16" s="854"/>
      <c r="F16" s="144"/>
      <c r="G16" s="144"/>
      <c r="H16" s="144"/>
      <c r="I16" s="151" t="s">
        <v>190</v>
      </c>
      <c r="J16" s="151" t="s">
        <v>191</v>
      </c>
      <c r="L16" s="146"/>
    </row>
    <row r="17" spans="1:17" ht="20.100000000000001" customHeight="1" x14ac:dyDescent="0.25">
      <c r="A17" s="144"/>
      <c r="B17" s="144"/>
      <c r="C17" s="145" t="s">
        <v>192</v>
      </c>
      <c r="D17" s="855"/>
      <c r="E17" s="855"/>
      <c r="F17" s="144"/>
      <c r="G17" s="216"/>
      <c r="H17" s="145" t="s">
        <v>193</v>
      </c>
      <c r="I17" s="152">
        <v>0.1</v>
      </c>
      <c r="J17" s="153">
        <v>0</v>
      </c>
      <c r="L17" s="146"/>
      <c r="O17" s="560" t="s">
        <v>1222</v>
      </c>
      <c r="P17" s="563"/>
      <c r="Q17" s="151" t="s">
        <v>190</v>
      </c>
    </row>
    <row r="18" spans="1:17" ht="20.100000000000001" customHeight="1" x14ac:dyDescent="0.25">
      <c r="A18" s="144"/>
      <c r="C18" s="145"/>
      <c r="D18" s="144"/>
      <c r="E18" s="144"/>
      <c r="F18" s="146"/>
      <c r="G18" s="146"/>
      <c r="H18" s="144"/>
      <c r="I18" s="146"/>
      <c r="J18" s="146"/>
      <c r="L18" s="146"/>
    </row>
    <row r="19" spans="1:17" ht="48.75" customHeight="1" x14ac:dyDescent="0.25">
      <c r="A19" s="144"/>
      <c r="C19" s="146" t="s">
        <v>194</v>
      </c>
      <c r="D19" s="856"/>
      <c r="E19" s="857"/>
      <c r="F19" s="857"/>
      <c r="G19" s="857"/>
      <c r="H19" s="857"/>
      <c r="I19" s="857"/>
      <c r="J19" s="857"/>
      <c r="K19" s="858"/>
      <c r="L19" s="146"/>
    </row>
    <row r="20" spans="1:17" ht="20.100000000000001" customHeight="1" x14ac:dyDescent="0.25">
      <c r="A20" s="144"/>
      <c r="D20" s="144"/>
      <c r="E20" s="144"/>
      <c r="F20" s="146"/>
      <c r="G20" s="146"/>
      <c r="H20" s="144"/>
      <c r="I20" s="146"/>
      <c r="J20" s="146"/>
      <c r="L20" s="146"/>
    </row>
    <row r="21" spans="1:17" x14ac:dyDescent="0.25">
      <c r="A21" s="144"/>
      <c r="B21" s="154"/>
      <c r="D21" s="144"/>
    </row>
    <row r="22" spans="1:17" x14ac:dyDescent="0.25">
      <c r="A22" s="144"/>
      <c r="B22" s="154"/>
      <c r="D22" s="144"/>
    </row>
    <row r="23" spans="1:17" x14ac:dyDescent="0.25">
      <c r="A23" s="144"/>
      <c r="B23" s="154"/>
    </row>
    <row r="24" spans="1:17" x14ac:dyDescent="0.25">
      <c r="A24" s="144"/>
      <c r="B24" s="154"/>
    </row>
    <row r="25" spans="1:17" x14ac:dyDescent="0.25">
      <c r="A25" s="144"/>
      <c r="B25" s="154"/>
    </row>
    <row r="26" spans="1:17" x14ac:dyDescent="0.25">
      <c r="A26" s="144"/>
      <c r="B26" s="154"/>
    </row>
  </sheetData>
  <sheetProtection algorithmName="SHA-512" hashValue="3DFfUH8MPr/y1Lw97ZiDbLm/Er+/GYu6CktSaCSV+j9tZy3ihgw4r62aDAjDIn3vev1pPsyePS/ncmt6+0EzNQ==" saltValue="tg7X0kqwjJkR1yE7DdiNaA==" spinCount="100000" sheet="1" objects="1" scenarios="1" selectLockedCells="1"/>
  <mergeCells count="19">
    <mergeCell ref="D14:I14"/>
    <mergeCell ref="D16:E16"/>
    <mergeCell ref="D17:E17"/>
    <mergeCell ref="D19:K19"/>
    <mergeCell ref="D13:K13"/>
    <mergeCell ref="D2:K2"/>
    <mergeCell ref="D3:K3"/>
    <mergeCell ref="D4:K4"/>
    <mergeCell ref="D5:K5"/>
    <mergeCell ref="D8:E8"/>
    <mergeCell ref="D7:E7"/>
    <mergeCell ref="I7:J7"/>
    <mergeCell ref="I8:J8"/>
    <mergeCell ref="D9:E9"/>
    <mergeCell ref="D10:K10"/>
    <mergeCell ref="D11:E11"/>
    <mergeCell ref="I11:K11"/>
    <mergeCell ref="D12:F12"/>
    <mergeCell ref="J12:K12"/>
  </mergeCells>
  <conditionalFormatting sqref="D7:E8 I7:J8">
    <cfRule type="expression" dxfId="21" priority="1">
      <formula>D7=""</formula>
    </cfRule>
  </conditionalFormatting>
  <dataValidations count="3">
    <dataValidation type="list" allowBlank="1" showInputMessage="1" showErrorMessage="1" sqref="D8:E8" xr:uid="{00000000-0002-0000-0000-000000000000}">
      <formula1>INDIRECT($D$7&amp;"Counties")</formula1>
    </dataValidation>
    <dataValidation type="list" allowBlank="1" showInputMessage="1" showErrorMessage="1" sqref="I7:J7" xr:uid="{00000000-0002-0000-0000-000001000000}">
      <formula1>INDIRECT($D$7&amp;"Utilities")</formula1>
    </dataValidation>
    <dataValidation type="list" allowBlank="1" showInputMessage="1" showErrorMessage="1" sqref="D16:E16" xr:uid="{00000000-0002-0000-0000-000002000000}">
      <formula1>"Participant, Contractor"</formula1>
    </dataValidation>
  </dataValidations>
  <pageMargins left="0.7" right="0.7" top="0.75" bottom="0.75" header="0.3" footer="0.3"/>
  <pageSetup orientation="portrait" horizontalDpi="1200" verticalDpi="1200"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4000000}">
          <x14:formula1>
            <xm:f>INDIRECT('Utility Admin'!$D$2&amp;"Programs")</xm:f>
          </x14:formula1>
          <xm:sqref>I8:J8</xm:sqref>
        </x14:dataValidation>
        <x14:dataValidation type="list" allowBlank="1" showInputMessage="1" showErrorMessage="1" xr:uid="{00000000-0002-0000-0000-000003000000}">
          <x14:formula1>
            <xm:f>'Utility Admin'!$E$24:$E$24</xm:f>
          </x14:formula1>
          <xm:sqref>D7:E7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6" tint="-0.499984740745262"/>
  </sheetPr>
  <dimension ref="A1:EH35"/>
  <sheetViews>
    <sheetView zoomScale="85" zoomScaleNormal="85" workbookViewId="0">
      <pane ySplit="7" topLeftCell="A8" activePane="bottomLeft" state="frozen"/>
      <selection activeCell="Z6" sqref="Z6"/>
      <selection pane="bottomLeft" activeCell="B8" sqref="B8"/>
    </sheetView>
  </sheetViews>
  <sheetFormatPr defaultColWidth="0" defaultRowHeight="14.25" x14ac:dyDescent="0.25"/>
  <cols>
    <col min="1" max="1" width="4.140625" style="119" customWidth="1"/>
    <col min="2" max="2" width="14.42578125" style="119" customWidth="1"/>
    <col min="3" max="3" width="25.7109375" style="119" customWidth="1"/>
    <col min="4" max="4" width="15.7109375" style="119" customWidth="1"/>
    <col min="5" max="5" width="30.7109375" style="119" customWidth="1"/>
    <col min="6" max="6" width="24.7109375" style="119" customWidth="1"/>
    <col min="7" max="7" width="21.140625" style="119" customWidth="1"/>
    <col min="8" max="9" width="9.7109375" style="119" customWidth="1"/>
    <col min="10" max="10" width="23.7109375" style="119" customWidth="1"/>
    <col min="11" max="12" width="9.7109375" style="119" customWidth="1"/>
    <col min="13" max="13" width="15.7109375" style="119" customWidth="1"/>
    <col min="14" max="14" width="30.7109375" style="119" customWidth="1"/>
    <col min="15" max="15" width="20.7109375" style="119" customWidth="1"/>
    <col min="16" max="16" width="14.7109375" style="119" customWidth="1"/>
    <col min="17" max="17" width="26.5703125" style="119" customWidth="1"/>
    <col min="18" max="19" width="9.7109375" style="119" customWidth="1"/>
    <col min="20" max="21" width="9.7109375" style="119" hidden="1" customWidth="1"/>
    <col min="22" max="22" width="23.7109375" style="119" customWidth="1"/>
    <col min="23" max="23" width="9.7109375" style="119" customWidth="1"/>
    <col min="24" max="24" width="9.7109375" style="119" hidden="1" customWidth="1"/>
    <col min="25" max="26" width="12.7109375" style="119" hidden="1" customWidth="1"/>
    <col min="27" max="28" width="11.7109375" style="119" customWidth="1"/>
    <col min="29" max="29" width="10.7109375" style="119" customWidth="1"/>
    <col min="30" max="30" width="11.7109375" style="119" hidden="1" customWidth="1"/>
    <col min="31" max="31" width="8.7109375" style="119" hidden="1" customWidth="1"/>
    <col min="32" max="32" width="8.7109375" style="119" customWidth="1"/>
    <col min="33" max="35" width="11.7109375" style="119" hidden="1" customWidth="1"/>
    <col min="36" max="39" width="10.7109375" style="119" hidden="1" customWidth="1"/>
    <col min="40" max="41" width="15.7109375" style="677" customWidth="1"/>
    <col min="42" max="45" width="15.7109375" style="119" customWidth="1"/>
    <col min="46" max="46" width="6.7109375" style="119" customWidth="1"/>
    <col min="47" max="48" width="8.7109375" style="119" customWidth="1"/>
    <col min="49" max="49" width="10.7109375" style="119" customWidth="1"/>
    <col min="50" max="51" width="8.7109375" style="119" customWidth="1"/>
    <col min="52" max="52" width="3.7109375" style="119" customWidth="1"/>
    <col min="53" max="55" width="9.140625" style="400" hidden="1" customWidth="1"/>
    <col min="56" max="56" width="10.28515625" style="119" hidden="1" customWidth="1"/>
    <col min="57" max="57" width="9.140625" style="119" hidden="1" customWidth="1"/>
    <col min="58" max="58" width="28.42578125" style="119" hidden="1" customWidth="1"/>
    <col min="59" max="59" width="9.140625" style="119" hidden="1" customWidth="1"/>
    <col min="60" max="60" width="13.42578125" style="119" hidden="1" customWidth="1"/>
    <col min="61" max="61" width="9.140625" style="119" hidden="1" customWidth="1"/>
    <col min="62" max="62" width="17.7109375" style="119" hidden="1" customWidth="1"/>
    <col min="63" max="63" width="10.7109375" style="119" hidden="1" customWidth="1"/>
    <col min="64" max="64" width="21" style="119" hidden="1" customWidth="1"/>
    <col min="65" max="65" width="22.85546875" style="119" hidden="1" customWidth="1"/>
    <col min="66" max="66" width="9.140625" style="119" hidden="1" customWidth="1"/>
    <col min="67" max="67" width="13" style="119" hidden="1" customWidth="1"/>
    <col min="68" max="68" width="9.140625" style="119" hidden="1" customWidth="1"/>
    <col min="69" max="69" width="15.7109375" style="119" hidden="1" customWidth="1"/>
    <col min="70" max="70" width="26.140625" style="119" hidden="1" customWidth="1"/>
    <col min="71" max="71" width="23.5703125" style="119" hidden="1" customWidth="1"/>
    <col min="72" max="72" width="22.5703125" style="119" hidden="1" customWidth="1"/>
    <col min="73" max="73" width="16.7109375" style="119" hidden="1" customWidth="1"/>
    <col min="74" max="76" width="10.7109375" style="119" customWidth="1"/>
    <col min="77" max="110" width="9.140625" style="119" hidden="1" customWidth="1"/>
    <col min="111" max="115" width="9.85546875" style="119" hidden="1" customWidth="1"/>
    <col min="116" max="116" width="11.7109375" style="119" hidden="1" customWidth="1"/>
    <col min="117" max="119" width="12.140625" style="119" hidden="1" customWidth="1"/>
    <col min="120" max="123" width="9.85546875" style="119" hidden="1" customWidth="1"/>
    <col min="124" max="125" width="14.42578125" style="119" hidden="1" customWidth="1"/>
    <col min="126" max="129" width="9.85546875" style="119" hidden="1" customWidth="1"/>
    <col min="130" max="131" width="14.42578125" style="119" hidden="1" customWidth="1"/>
    <col min="132" max="133" width="9.140625" style="119" hidden="1" customWidth="1"/>
    <col min="134" max="134" width="10.140625" style="119" hidden="1" customWidth="1"/>
    <col min="135" max="135" width="3.7109375" style="117" customWidth="1"/>
    <col min="136" max="138" width="0" style="119" hidden="1" customWidth="1"/>
    <col min="139" max="16384" width="9.140625" style="119" hidden="1"/>
  </cols>
  <sheetData>
    <row r="1" spans="1:135" ht="18" customHeight="1" thickBot="1" x14ac:dyDescent="0.3">
      <c r="A1" s="245">
        <v>1</v>
      </c>
      <c r="B1" s="116"/>
      <c r="C1" s="117"/>
      <c r="D1" s="117"/>
      <c r="E1" s="117"/>
      <c r="F1" s="117"/>
      <c r="G1" s="117"/>
      <c r="H1" s="117"/>
      <c r="I1" s="117"/>
      <c r="J1" s="117"/>
      <c r="K1" s="117"/>
      <c r="L1" s="117"/>
      <c r="M1" s="117"/>
      <c r="N1" s="117"/>
      <c r="O1" s="117"/>
      <c r="P1" s="117"/>
      <c r="Q1" s="117"/>
      <c r="R1" s="117"/>
      <c r="S1" s="117"/>
      <c r="T1" s="117"/>
      <c r="U1" s="117"/>
      <c r="V1" s="117"/>
      <c r="W1" s="117"/>
      <c r="X1" s="117"/>
      <c r="Y1" s="117"/>
      <c r="Z1" s="117"/>
      <c r="AA1" s="818" t="s">
        <v>1476</v>
      </c>
      <c r="AB1" s="818"/>
      <c r="AC1" s="818"/>
      <c r="AD1" s="642"/>
      <c r="AE1" s="642"/>
      <c r="AF1" s="117"/>
      <c r="AG1" s="245" t="s">
        <v>1330</v>
      </c>
      <c r="AH1" s="245" t="s">
        <v>1330</v>
      </c>
      <c r="AI1" s="245" t="s">
        <v>1330</v>
      </c>
      <c r="AJ1" s="245" t="s">
        <v>1330</v>
      </c>
      <c r="AK1" s="245" t="s">
        <v>1330</v>
      </c>
      <c r="AL1" s="245" t="s">
        <v>1330</v>
      </c>
      <c r="AM1" s="245" t="s">
        <v>1330</v>
      </c>
      <c r="AN1" s="671"/>
      <c r="AO1" s="671"/>
      <c r="AP1" s="117"/>
      <c r="AQ1" s="133" t="str">
        <f>'Project Info'!K1</f>
        <v>v26.1</v>
      </c>
      <c r="AR1" s="133"/>
      <c r="AS1" s="133"/>
      <c r="AT1" s="117"/>
      <c r="AU1" s="117"/>
      <c r="AV1" s="117"/>
      <c r="AW1" s="117"/>
      <c r="AX1" s="117"/>
      <c r="AY1" s="117"/>
      <c r="AZ1" s="117"/>
      <c r="BA1" s="638" t="s">
        <v>1330</v>
      </c>
      <c r="BB1" s="638" t="s">
        <v>1330</v>
      </c>
      <c r="BC1" s="638" t="s">
        <v>1330</v>
      </c>
      <c r="BD1" s="638" t="s">
        <v>1330</v>
      </c>
      <c r="BE1" s="638" t="s">
        <v>1330</v>
      </c>
      <c r="BF1" s="638" t="s">
        <v>1330</v>
      </c>
      <c r="BG1" s="638" t="s">
        <v>1330</v>
      </c>
      <c r="BH1" s="638" t="s">
        <v>1330</v>
      </c>
      <c r="BI1" s="638" t="s">
        <v>1330</v>
      </c>
      <c r="BJ1" s="638" t="s">
        <v>1330</v>
      </c>
      <c r="BK1" s="638" t="s">
        <v>1330</v>
      </c>
      <c r="BL1" s="638" t="s">
        <v>1330</v>
      </c>
      <c r="BM1" s="638" t="s">
        <v>1330</v>
      </c>
      <c r="BN1" s="638" t="s">
        <v>1330</v>
      </c>
      <c r="BO1" s="638" t="s">
        <v>1330</v>
      </c>
      <c r="BP1" s="638" t="s">
        <v>1330</v>
      </c>
      <c r="BQ1" s="638" t="s">
        <v>1330</v>
      </c>
      <c r="BR1" s="638" t="s">
        <v>1330</v>
      </c>
      <c r="BS1" s="638" t="s">
        <v>1330</v>
      </c>
      <c r="BT1" s="638" t="s">
        <v>1330</v>
      </c>
      <c r="BU1" s="638" t="s">
        <v>1330</v>
      </c>
      <c r="BV1" s="117"/>
      <c r="BW1" s="117"/>
      <c r="BX1" s="117"/>
      <c r="BY1" s="638" t="s">
        <v>1330</v>
      </c>
      <c r="BZ1" s="638" t="s">
        <v>1330</v>
      </c>
      <c r="CA1" s="638" t="s">
        <v>1330</v>
      </c>
      <c r="CB1" s="638" t="s">
        <v>1330</v>
      </c>
      <c r="CC1" s="638" t="s">
        <v>1330</v>
      </c>
      <c r="CD1" s="638" t="s">
        <v>1330</v>
      </c>
      <c r="CE1" s="638" t="s">
        <v>1330</v>
      </c>
      <c r="CF1" s="638" t="s">
        <v>1330</v>
      </c>
      <c r="CG1" s="638" t="s">
        <v>1330</v>
      </c>
      <c r="CH1" s="638" t="s">
        <v>1330</v>
      </c>
      <c r="CI1" s="638" t="s">
        <v>1330</v>
      </c>
      <c r="CJ1" s="638" t="s">
        <v>1330</v>
      </c>
      <c r="CK1" s="638" t="s">
        <v>1330</v>
      </c>
      <c r="CL1" s="638" t="s">
        <v>1330</v>
      </c>
      <c r="CM1" s="638" t="s">
        <v>1330</v>
      </c>
      <c r="CN1" s="638" t="s">
        <v>1330</v>
      </c>
      <c r="CO1" s="638" t="s">
        <v>1330</v>
      </c>
      <c r="CP1" s="638" t="s">
        <v>1330</v>
      </c>
      <c r="CQ1" s="638" t="s">
        <v>1330</v>
      </c>
      <c r="CR1" s="638" t="s">
        <v>1330</v>
      </c>
      <c r="CS1" s="638" t="s">
        <v>1330</v>
      </c>
      <c r="CT1" s="638" t="s">
        <v>1330</v>
      </c>
      <c r="CU1" s="638" t="s">
        <v>1330</v>
      </c>
      <c r="CV1" s="638" t="s">
        <v>1330</v>
      </c>
      <c r="CW1" s="638" t="s">
        <v>1330</v>
      </c>
      <c r="CX1" s="638" t="s">
        <v>1330</v>
      </c>
      <c r="CY1" s="638" t="s">
        <v>1330</v>
      </c>
      <c r="CZ1" s="638" t="s">
        <v>1330</v>
      </c>
      <c r="DA1" s="638" t="s">
        <v>1330</v>
      </c>
      <c r="DB1" s="638" t="s">
        <v>1330</v>
      </c>
      <c r="DC1" s="638" t="s">
        <v>1330</v>
      </c>
      <c r="DD1" s="638" t="s">
        <v>1330</v>
      </c>
      <c r="DE1" s="638" t="s">
        <v>1330</v>
      </c>
      <c r="DF1" s="638" t="s">
        <v>1330</v>
      </c>
      <c r="DG1" s="638" t="s">
        <v>1330</v>
      </c>
      <c r="DH1" s="638" t="s">
        <v>1330</v>
      </c>
      <c r="DI1" s="638" t="s">
        <v>1330</v>
      </c>
      <c r="DJ1" s="638" t="s">
        <v>1330</v>
      </c>
      <c r="DK1" s="638" t="s">
        <v>1330</v>
      </c>
      <c r="DL1" s="638" t="s">
        <v>1330</v>
      </c>
      <c r="DM1" s="638" t="s">
        <v>1330</v>
      </c>
      <c r="DN1" s="638" t="s">
        <v>1330</v>
      </c>
      <c r="DO1" s="638" t="s">
        <v>1330</v>
      </c>
      <c r="DP1" s="638" t="s">
        <v>1330</v>
      </c>
      <c r="DQ1" s="638" t="s">
        <v>1330</v>
      </c>
      <c r="DR1" s="638" t="s">
        <v>1330</v>
      </c>
      <c r="DS1" s="638" t="s">
        <v>1330</v>
      </c>
      <c r="DT1" s="638" t="s">
        <v>1330</v>
      </c>
      <c r="DU1" s="638" t="s">
        <v>1330</v>
      </c>
      <c r="DV1" s="638" t="s">
        <v>1330</v>
      </c>
      <c r="DW1" s="638" t="s">
        <v>1330</v>
      </c>
      <c r="DX1" s="638" t="s">
        <v>1330</v>
      </c>
      <c r="DY1" s="638" t="s">
        <v>1330</v>
      </c>
      <c r="DZ1" s="638" t="s">
        <v>1330</v>
      </c>
      <c r="EA1" s="638" t="s">
        <v>1330</v>
      </c>
      <c r="EB1" s="638" t="s">
        <v>1330</v>
      </c>
      <c r="EC1" s="638" t="s">
        <v>1330</v>
      </c>
      <c r="ED1" s="638" t="s">
        <v>1330</v>
      </c>
    </row>
    <row r="2" spans="1:135" ht="30" customHeight="1" x14ac:dyDescent="0.25">
      <c r="A2" s="116" t="s">
        <v>1497</v>
      </c>
      <c r="B2" s="117"/>
      <c r="C2" s="117"/>
      <c r="D2" s="117"/>
      <c r="E2" s="117"/>
      <c r="F2" s="117"/>
      <c r="G2" s="117"/>
      <c r="H2" s="117"/>
      <c r="I2" s="117"/>
      <c r="J2" s="117"/>
      <c r="K2" s="117"/>
      <c r="L2" s="117"/>
      <c r="M2" s="585" t="s">
        <v>1054</v>
      </c>
      <c r="N2" s="585"/>
      <c r="O2" s="117"/>
      <c r="P2" s="117"/>
      <c r="Q2" s="117"/>
      <c r="R2" s="117"/>
      <c r="S2" s="117"/>
      <c r="T2" s="117"/>
      <c r="U2" s="117"/>
      <c r="V2" s="117"/>
      <c r="W2" s="117"/>
      <c r="X2" s="117"/>
      <c r="Y2" s="117"/>
      <c r="Z2" s="117"/>
      <c r="AA2" s="818"/>
      <c r="AB2" s="818"/>
      <c r="AC2" s="818"/>
      <c r="AD2" s="642"/>
      <c r="AE2" s="642"/>
      <c r="AF2" s="225"/>
      <c r="AG2" s="117"/>
      <c r="AH2" s="117"/>
      <c r="AI2" s="117"/>
      <c r="AJ2" s="117"/>
      <c r="AK2" s="117"/>
      <c r="AL2" s="117"/>
      <c r="AM2" s="225"/>
      <c r="AN2" s="672" t="str">
        <f>AN5</f>
        <v>NCP kW</v>
      </c>
      <c r="AO2" s="673" t="str">
        <f t="shared" ref="AO2:AR2" si="0">AO5</f>
        <v>Peak kW</v>
      </c>
      <c r="AP2" s="573" t="str">
        <f t="shared" si="0"/>
        <v>kWh</v>
      </c>
      <c r="AQ2" s="574" t="str">
        <f t="shared" si="0"/>
        <v>Incentive</v>
      </c>
      <c r="AR2" s="605" t="str">
        <f t="shared" si="0"/>
        <v>Non-Capped Incentive</v>
      </c>
      <c r="AS2" s="575" t="s">
        <v>1233</v>
      </c>
      <c r="AT2" s="117"/>
      <c r="AU2" s="117"/>
      <c r="AV2" s="117"/>
      <c r="AW2" s="117"/>
      <c r="AX2" s="117"/>
      <c r="AY2" s="117"/>
      <c r="AZ2" s="117"/>
      <c r="BV2" s="117"/>
      <c r="BW2" s="117"/>
      <c r="BX2" s="117"/>
    </row>
    <row r="3" spans="1:135" ht="30" customHeight="1" thickBot="1" x14ac:dyDescent="0.3">
      <c r="A3" s="116"/>
      <c r="B3" s="584" t="s">
        <v>178</v>
      </c>
      <c r="C3" s="586" t="str">
        <f>IF('Project Info'!D4="","",'Project Info'!D4)</f>
        <v/>
      </c>
      <c r="D3" s="117"/>
      <c r="E3" s="117"/>
      <c r="F3" s="117"/>
      <c r="G3" s="117"/>
      <c r="H3" s="117"/>
      <c r="I3" s="117"/>
      <c r="J3" s="117"/>
      <c r="K3" s="117"/>
      <c r="L3" s="117"/>
      <c r="M3" s="117"/>
      <c r="N3" s="117"/>
      <c r="O3" s="117"/>
      <c r="P3" s="117"/>
      <c r="Q3" s="117"/>
      <c r="R3" s="117"/>
      <c r="S3" s="117"/>
      <c r="T3" s="117"/>
      <c r="U3" s="117"/>
      <c r="V3" s="117"/>
      <c r="W3" s="117"/>
      <c r="X3" s="117"/>
      <c r="Y3" s="117"/>
      <c r="Z3" s="117"/>
      <c r="AA3" s="818"/>
      <c r="AB3" s="818"/>
      <c r="AC3" s="818"/>
      <c r="AD3" s="642"/>
      <c r="AE3" s="642"/>
      <c r="AF3" s="225"/>
      <c r="AG3" s="117"/>
      <c r="AH3" s="117"/>
      <c r="AI3" s="117"/>
      <c r="AJ3" s="117"/>
      <c r="AK3" s="117"/>
      <c r="AL3" s="117"/>
      <c r="AM3" s="225"/>
      <c r="AN3" s="674">
        <f>SUM(AN8:AN32)</f>
        <v>0</v>
      </c>
      <c r="AO3" s="675">
        <f>SUM(AO8:AO32)</f>
        <v>0</v>
      </c>
      <c r="AP3" s="576">
        <f>SUM(AP8:AP32)</f>
        <v>0</v>
      </c>
      <c r="AQ3" s="419">
        <f>SUM(AQ8:AQ32)</f>
        <v>0</v>
      </c>
      <c r="AR3" s="606">
        <f>SUM(AR8:AR32)</f>
        <v>0</v>
      </c>
      <c r="AS3" s="577">
        <f>ProjectCost</f>
        <v>0</v>
      </c>
      <c r="AT3" s="117" t="str">
        <f>IFERROR(IF(AQ3='Utility Admin'!I2,"Incentive is capped",""),"")</f>
        <v/>
      </c>
      <c r="AU3" s="117"/>
      <c r="AV3" s="117"/>
      <c r="AW3" s="117"/>
      <c r="AX3" s="117"/>
      <c r="AY3" s="117"/>
      <c r="AZ3" s="117"/>
      <c r="BV3" s="117"/>
      <c r="BW3" s="117"/>
      <c r="BX3" s="117"/>
    </row>
    <row r="4" spans="1:135" ht="15.6" customHeight="1" thickBot="1" x14ac:dyDescent="0.3">
      <c r="A4" s="117"/>
      <c r="B4" s="120"/>
      <c r="C4" s="120"/>
      <c r="D4" s="120"/>
      <c r="E4" s="120"/>
      <c r="F4" s="120"/>
      <c r="G4" s="248" t="str">
        <f>IF(COUNTIF(BD8:BD32,"CAP")&gt;0,"Greater than 20% decrease in capacity. A capped Removed Equipment tonnage will be used.","")</f>
        <v/>
      </c>
      <c r="H4" s="118"/>
      <c r="I4" s="118"/>
      <c r="J4" s="118"/>
      <c r="K4" s="118"/>
      <c r="L4" s="118"/>
      <c r="M4" s="401"/>
      <c r="N4" s="401"/>
      <c r="O4" s="118"/>
      <c r="P4" s="118"/>
      <c r="Q4" s="401" t="str">
        <f>IF(BC6&gt;0,"The change in equipment type is not supported by this calculator. Please contact program engineering for further assistance.","")</f>
        <v/>
      </c>
      <c r="R4" s="118"/>
      <c r="S4" s="118"/>
      <c r="T4" s="118"/>
      <c r="U4" s="118"/>
      <c r="V4" s="118"/>
      <c r="W4" s="118"/>
      <c r="X4" s="118"/>
      <c r="Y4" s="118"/>
      <c r="Z4" s="118"/>
      <c r="AA4" s="819"/>
      <c r="AB4" s="819"/>
      <c r="AC4" s="819"/>
      <c r="AD4" s="643"/>
      <c r="AE4" s="643"/>
      <c r="AF4" s="118"/>
      <c r="AG4" s="117"/>
      <c r="AH4" s="117"/>
      <c r="AI4" s="117"/>
      <c r="AJ4" s="117"/>
      <c r="AK4" s="117"/>
      <c r="AL4" s="117"/>
      <c r="AM4" s="117"/>
      <c r="AN4" s="671"/>
      <c r="AO4" s="671"/>
      <c r="AP4" s="117"/>
      <c r="AQ4" s="117"/>
      <c r="AR4" s="117"/>
      <c r="AS4" s="117"/>
      <c r="AT4" s="117"/>
      <c r="AU4" s="117"/>
      <c r="AV4" s="117"/>
      <c r="AW4" s="117"/>
      <c r="AX4" s="117"/>
      <c r="AY4" s="117"/>
      <c r="AZ4" s="117"/>
      <c r="BV4" s="117"/>
      <c r="BW4" s="117"/>
      <c r="BX4" s="117"/>
    </row>
    <row r="5" spans="1:135" s="123" customFormat="1" ht="20.100000000000001" customHeight="1" x14ac:dyDescent="0.25">
      <c r="A5" s="121"/>
      <c r="B5" s="828" t="s">
        <v>72</v>
      </c>
      <c r="C5" s="835" t="s">
        <v>35</v>
      </c>
      <c r="D5" s="260" t="s">
        <v>775</v>
      </c>
      <c r="E5" s="260"/>
      <c r="F5" s="261"/>
      <c r="G5" s="261"/>
      <c r="H5" s="261"/>
      <c r="I5" s="261"/>
      <c r="J5" s="261"/>
      <c r="K5" s="261"/>
      <c r="L5" s="262"/>
      <c r="M5" s="497" t="s">
        <v>774</v>
      </c>
      <c r="N5" s="244"/>
      <c r="O5" s="244"/>
      <c r="P5" s="244"/>
      <c r="Q5" s="244"/>
      <c r="R5" s="244"/>
      <c r="S5" s="244"/>
      <c r="T5" s="244"/>
      <c r="U5" s="244"/>
      <c r="V5" s="244"/>
      <c r="W5" s="244"/>
      <c r="X5" s="244"/>
      <c r="Y5" s="244"/>
      <c r="Z5" s="244"/>
      <c r="AA5" s="244"/>
      <c r="AB5" s="244"/>
      <c r="AC5" s="244"/>
      <c r="AD5" s="244"/>
      <c r="AE5" s="244"/>
      <c r="AF5" s="263"/>
      <c r="AG5" s="815" t="s">
        <v>1219</v>
      </c>
      <c r="AH5" s="816"/>
      <c r="AI5" s="817"/>
      <c r="AJ5" s="780" t="s">
        <v>1218</v>
      </c>
      <c r="AK5" s="781"/>
      <c r="AL5" s="781"/>
      <c r="AM5" s="782"/>
      <c r="AN5" s="807" t="s">
        <v>710</v>
      </c>
      <c r="AO5" s="803" t="s">
        <v>709</v>
      </c>
      <c r="AP5" s="805" t="s">
        <v>71</v>
      </c>
      <c r="AQ5" s="793" t="s">
        <v>778</v>
      </c>
      <c r="AR5" s="809" t="s">
        <v>777</v>
      </c>
      <c r="AS5" s="788" t="s">
        <v>1232</v>
      </c>
      <c r="AT5" s="117"/>
      <c r="AU5" s="785" t="s">
        <v>151</v>
      </c>
      <c r="AV5" s="786"/>
      <c r="AW5" s="786"/>
      <c r="AX5" s="786"/>
      <c r="AY5" s="787"/>
      <c r="AZ5" s="398"/>
      <c r="BA5" s="773" t="s">
        <v>1037</v>
      </c>
      <c r="BB5" s="773"/>
      <c r="BC5" s="773"/>
      <c r="BD5" s="119"/>
      <c r="BE5" s="119"/>
      <c r="BF5" s="119"/>
      <c r="BG5" s="119"/>
      <c r="BH5" s="119"/>
      <c r="BI5" s="119"/>
      <c r="BJ5" s="119"/>
      <c r="BK5" s="119"/>
      <c r="BL5" s="119"/>
      <c r="BM5" s="119"/>
      <c r="BN5" s="119"/>
      <c r="BO5" s="119"/>
      <c r="BP5" s="119"/>
      <c r="BQ5" s="119"/>
      <c r="BR5" s="119"/>
      <c r="BS5" s="119"/>
      <c r="BU5" s="119"/>
      <c r="BV5" s="767" t="s">
        <v>1229</v>
      </c>
      <c r="BW5" s="768"/>
      <c r="BX5" s="769"/>
      <c r="BY5" s="119" t="str">
        <f>CONCATENATE('Project Info'!D7,"_EFLHZone",EFLH!$C$1)</f>
        <v>_EFLHZone3</v>
      </c>
      <c r="BZ5" s="119"/>
      <c r="CA5" s="119"/>
      <c r="CB5" s="119"/>
      <c r="CC5" s="119"/>
      <c r="CD5" s="119"/>
      <c r="CE5" s="119"/>
      <c r="CF5" s="119"/>
      <c r="CG5" s="119"/>
      <c r="CH5" s="119"/>
      <c r="CI5" s="119"/>
      <c r="CJ5" s="119"/>
      <c r="CK5" s="119"/>
      <c r="CL5" s="119"/>
      <c r="CM5" s="119"/>
      <c r="CN5" s="119"/>
      <c r="CO5" s="119"/>
      <c r="CP5" s="119"/>
      <c r="CQ5" s="119"/>
      <c r="CR5" s="119"/>
      <c r="CS5" s="119"/>
      <c r="CT5" s="119"/>
      <c r="CU5" s="119"/>
      <c r="CV5" s="119"/>
      <c r="CW5" s="119"/>
      <c r="CX5" s="119"/>
      <c r="CY5" s="119"/>
      <c r="CZ5" s="119"/>
      <c r="DA5" s="119"/>
      <c r="DB5" s="119"/>
      <c r="DF5" s="119"/>
      <c r="DG5" s="119"/>
      <c r="DH5" s="119"/>
      <c r="EE5" s="122"/>
    </row>
    <row r="6" spans="1:135" s="126" customFormat="1" ht="30" customHeight="1" thickBot="1" x14ac:dyDescent="0.3">
      <c r="A6" s="124"/>
      <c r="B6" s="829"/>
      <c r="C6" s="836"/>
      <c r="D6" s="824" t="s">
        <v>1309</v>
      </c>
      <c r="E6" s="824" t="s">
        <v>1310</v>
      </c>
      <c r="F6" s="824" t="s">
        <v>1203</v>
      </c>
      <c r="G6" s="824" t="s">
        <v>385</v>
      </c>
      <c r="H6" s="822" t="s">
        <v>74</v>
      </c>
      <c r="I6" s="823"/>
      <c r="J6" s="824" t="s">
        <v>386</v>
      </c>
      <c r="K6" s="824" t="s">
        <v>162</v>
      </c>
      <c r="L6" s="826" t="s">
        <v>158</v>
      </c>
      <c r="M6" s="833" t="s">
        <v>1309</v>
      </c>
      <c r="N6" s="820" t="s">
        <v>1310</v>
      </c>
      <c r="O6" s="820" t="s">
        <v>1203</v>
      </c>
      <c r="P6" s="820" t="s">
        <v>150</v>
      </c>
      <c r="Q6" s="820" t="s">
        <v>385</v>
      </c>
      <c r="R6" s="764" t="s">
        <v>74</v>
      </c>
      <c r="S6" s="766"/>
      <c r="T6" s="764" t="s">
        <v>832</v>
      </c>
      <c r="U6" s="766"/>
      <c r="V6" s="820" t="s">
        <v>386</v>
      </c>
      <c r="W6" s="820" t="s">
        <v>388</v>
      </c>
      <c r="X6" s="820" t="s">
        <v>816</v>
      </c>
      <c r="Y6" s="820" t="s">
        <v>827</v>
      </c>
      <c r="Z6" s="831" t="s">
        <v>828</v>
      </c>
      <c r="AA6" s="764" t="s">
        <v>1048</v>
      </c>
      <c r="AB6" s="765"/>
      <c r="AC6" s="766"/>
      <c r="AD6" s="764" t="s">
        <v>1050</v>
      </c>
      <c r="AE6" s="765"/>
      <c r="AF6" s="801" t="s">
        <v>162</v>
      </c>
      <c r="AG6" s="795" t="s">
        <v>1217</v>
      </c>
      <c r="AH6" s="796"/>
      <c r="AI6" s="797" t="s">
        <v>1216</v>
      </c>
      <c r="AJ6" s="783" t="s">
        <v>1213</v>
      </c>
      <c r="AK6" s="776" t="s">
        <v>1214</v>
      </c>
      <c r="AL6" s="776" t="s">
        <v>76</v>
      </c>
      <c r="AM6" s="778" t="s">
        <v>1215</v>
      </c>
      <c r="AN6" s="808"/>
      <c r="AO6" s="804"/>
      <c r="AP6" s="806"/>
      <c r="AQ6" s="794"/>
      <c r="AR6" s="810"/>
      <c r="AS6" s="789"/>
      <c r="AT6" s="225"/>
      <c r="AU6" s="813" t="s">
        <v>1046</v>
      </c>
      <c r="AV6" s="811" t="s">
        <v>1047</v>
      </c>
      <c r="AW6" s="791" t="s">
        <v>1049</v>
      </c>
      <c r="AX6" s="799" t="s">
        <v>75</v>
      </c>
      <c r="AY6" s="774" t="s">
        <v>1049</v>
      </c>
      <c r="AZ6" s="398"/>
      <c r="BA6" s="417">
        <f>MAX(BA8:BA32)</f>
        <v>0</v>
      </c>
      <c r="BB6" s="417">
        <f>MAX(BB8:BB32)</f>
        <v>0</v>
      </c>
      <c r="BC6" s="417">
        <f>MAX(BC8:BC32)</f>
        <v>0</v>
      </c>
      <c r="BD6" s="119"/>
      <c r="BE6" s="119"/>
      <c r="BF6" s="119"/>
      <c r="BG6" s="119"/>
      <c r="BH6" s="119"/>
      <c r="BI6" s="119"/>
      <c r="BJ6" s="119"/>
      <c r="BK6" s="119"/>
      <c r="BL6" s="119"/>
      <c r="BM6" s="119"/>
      <c r="BN6" s="119"/>
      <c r="BO6" s="119"/>
      <c r="BP6" s="119"/>
      <c r="BQ6" s="119"/>
      <c r="BR6" s="119"/>
      <c r="BS6" s="119"/>
      <c r="BT6" s="119"/>
      <c r="BU6" s="119"/>
      <c r="BV6" s="770"/>
      <c r="BW6" s="771"/>
      <c r="BX6" s="772"/>
      <c r="BY6" s="119"/>
      <c r="BZ6" s="566" t="s">
        <v>764</v>
      </c>
      <c r="CA6" s="119"/>
      <c r="CB6" s="119"/>
      <c r="CC6" s="119"/>
      <c r="CD6" s="119"/>
      <c r="CE6" s="119"/>
      <c r="CF6" s="119"/>
      <c r="CG6" s="119"/>
      <c r="CH6" s="119"/>
      <c r="CI6" s="119"/>
      <c r="CJ6" s="119"/>
      <c r="CK6" s="119"/>
      <c r="CL6" s="227"/>
      <c r="CM6" s="119" t="s">
        <v>755</v>
      </c>
      <c r="CN6" s="119"/>
      <c r="CO6" s="119"/>
      <c r="CP6" s="119"/>
      <c r="CQ6" s="119"/>
      <c r="CR6" s="119"/>
      <c r="CS6" s="119"/>
      <c r="CT6" s="119"/>
      <c r="CU6" s="119"/>
      <c r="CV6" s="119"/>
      <c r="CW6" s="119"/>
      <c r="CX6" s="119"/>
      <c r="CY6" s="119" t="s">
        <v>755</v>
      </c>
      <c r="CZ6" s="119"/>
      <c r="DA6" s="119"/>
      <c r="DB6" s="119"/>
      <c r="DC6" s="126" t="s">
        <v>791</v>
      </c>
      <c r="DF6" s="119" t="s">
        <v>792</v>
      </c>
      <c r="DG6" s="119"/>
      <c r="DH6" s="119"/>
      <c r="DJ6" s="221"/>
      <c r="EE6" s="125"/>
    </row>
    <row r="7" spans="1:135" s="126" customFormat="1" ht="30" customHeight="1" thickBot="1" x14ac:dyDescent="0.3">
      <c r="A7" s="124"/>
      <c r="B7" s="830"/>
      <c r="C7" s="837"/>
      <c r="D7" s="825"/>
      <c r="E7" s="825"/>
      <c r="F7" s="825"/>
      <c r="G7" s="825"/>
      <c r="H7" s="508" t="s">
        <v>30</v>
      </c>
      <c r="I7" s="508" t="s">
        <v>332</v>
      </c>
      <c r="J7" s="825"/>
      <c r="K7" s="825"/>
      <c r="L7" s="827"/>
      <c r="M7" s="834"/>
      <c r="N7" s="821"/>
      <c r="O7" s="821"/>
      <c r="P7" s="821"/>
      <c r="Q7" s="821"/>
      <c r="R7" s="509" t="s">
        <v>30</v>
      </c>
      <c r="S7" s="509" t="s">
        <v>332</v>
      </c>
      <c r="T7" s="509" t="s">
        <v>30</v>
      </c>
      <c r="U7" s="509" t="s">
        <v>332</v>
      </c>
      <c r="V7" s="821"/>
      <c r="W7" s="821"/>
      <c r="X7" s="821"/>
      <c r="Y7" s="821"/>
      <c r="Z7" s="832"/>
      <c r="AA7" s="509" t="s">
        <v>1046</v>
      </c>
      <c r="AB7" s="509" t="s">
        <v>1447</v>
      </c>
      <c r="AC7" s="509" t="s">
        <v>1049</v>
      </c>
      <c r="AD7" s="509" t="s">
        <v>30</v>
      </c>
      <c r="AE7" s="510" t="s">
        <v>1049</v>
      </c>
      <c r="AF7" s="802"/>
      <c r="AG7" s="529" t="s">
        <v>1046</v>
      </c>
      <c r="AH7" s="530" t="s">
        <v>1047</v>
      </c>
      <c r="AI7" s="798"/>
      <c r="AJ7" s="784"/>
      <c r="AK7" s="777"/>
      <c r="AL7" s="777"/>
      <c r="AM7" s="779"/>
      <c r="AN7" s="808"/>
      <c r="AO7" s="804"/>
      <c r="AP7" s="806"/>
      <c r="AQ7" s="794"/>
      <c r="AR7" s="810"/>
      <c r="AS7" s="790"/>
      <c r="AT7" s="225"/>
      <c r="AU7" s="814"/>
      <c r="AV7" s="812"/>
      <c r="AW7" s="792"/>
      <c r="AX7" s="800"/>
      <c r="AY7" s="775"/>
      <c r="AZ7" s="398"/>
      <c r="BA7" s="402" t="s">
        <v>1055</v>
      </c>
      <c r="BB7" s="402" t="s">
        <v>1056</v>
      </c>
      <c r="BC7" s="126" t="s">
        <v>1057</v>
      </c>
      <c r="BD7" s="222" t="s">
        <v>842</v>
      </c>
      <c r="BE7" s="222" t="s">
        <v>829</v>
      </c>
      <c r="BF7" s="222" t="s">
        <v>793</v>
      </c>
      <c r="BG7" s="222" t="s">
        <v>716</v>
      </c>
      <c r="BH7" s="222" t="s">
        <v>1382</v>
      </c>
      <c r="BI7" s="222" t="s">
        <v>1311</v>
      </c>
      <c r="BJ7" s="222" t="s">
        <v>714</v>
      </c>
      <c r="BK7" s="222" t="s">
        <v>81</v>
      </c>
      <c r="BL7" s="222" t="s">
        <v>717</v>
      </c>
      <c r="BM7" s="222" t="s">
        <v>718</v>
      </c>
      <c r="BN7" s="222" t="s">
        <v>1380</v>
      </c>
      <c r="BO7" s="222" t="s">
        <v>1386</v>
      </c>
      <c r="BP7" s="222" t="s">
        <v>1381</v>
      </c>
      <c r="BQ7" s="222" t="s">
        <v>833</v>
      </c>
      <c r="BR7" s="222" t="s">
        <v>383</v>
      </c>
      <c r="BS7" s="222" t="s">
        <v>376</v>
      </c>
      <c r="BT7" s="222" t="s">
        <v>377</v>
      </c>
      <c r="BU7" s="222" t="s">
        <v>715</v>
      </c>
      <c r="BV7" s="570" t="s">
        <v>76</v>
      </c>
      <c r="BW7" s="571" t="s">
        <v>66</v>
      </c>
      <c r="BX7" s="572" t="s">
        <v>65</v>
      </c>
      <c r="BY7" s="564" t="s">
        <v>720</v>
      </c>
      <c r="BZ7" s="564" t="s">
        <v>768</v>
      </c>
      <c r="CA7" s="222" t="s">
        <v>769</v>
      </c>
      <c r="CB7" s="222" t="s">
        <v>725</v>
      </c>
      <c r="CC7" s="222" t="s">
        <v>770</v>
      </c>
      <c r="CD7" s="222" t="s">
        <v>771</v>
      </c>
      <c r="CE7" s="222" t="s">
        <v>815</v>
      </c>
      <c r="CF7" s="222" t="s">
        <v>1446</v>
      </c>
      <c r="CG7" s="222" t="s">
        <v>772</v>
      </c>
      <c r="CH7" s="222" t="s">
        <v>773</v>
      </c>
      <c r="CI7" s="222" t="s">
        <v>726</v>
      </c>
      <c r="CJ7" s="222" t="s">
        <v>765</v>
      </c>
      <c r="CK7" s="222" t="s">
        <v>766</v>
      </c>
      <c r="CL7" s="235" t="s">
        <v>767</v>
      </c>
      <c r="CM7" s="222" t="s">
        <v>743</v>
      </c>
      <c r="CN7" s="222" t="s">
        <v>752</v>
      </c>
      <c r="CO7" s="222" t="s">
        <v>744</v>
      </c>
      <c r="CP7" s="222" t="s">
        <v>745</v>
      </c>
      <c r="CQ7" s="222" t="s">
        <v>746</v>
      </c>
      <c r="CR7" s="222" t="s">
        <v>753</v>
      </c>
      <c r="CS7" s="222" t="s">
        <v>747</v>
      </c>
      <c r="CT7" s="222" t="s">
        <v>748</v>
      </c>
      <c r="CU7" s="222" t="s">
        <v>749</v>
      </c>
      <c r="CV7" s="222" t="s">
        <v>754</v>
      </c>
      <c r="CW7" s="222" t="s">
        <v>750</v>
      </c>
      <c r="CX7" s="235" t="s">
        <v>751</v>
      </c>
      <c r="CY7" s="236" t="s">
        <v>77</v>
      </c>
      <c r="CZ7" s="222" t="s">
        <v>719</v>
      </c>
      <c r="DA7" s="222" t="s">
        <v>79</v>
      </c>
      <c r="DB7" s="222" t="s">
        <v>78</v>
      </c>
      <c r="DC7" s="561" t="s">
        <v>776</v>
      </c>
      <c r="DD7" s="126" t="s">
        <v>191</v>
      </c>
      <c r="DE7" s="238" t="s">
        <v>190</v>
      </c>
      <c r="DF7" s="222" t="s">
        <v>69</v>
      </c>
      <c r="DG7" s="222" t="s">
        <v>9</v>
      </c>
      <c r="DH7" s="222" t="s">
        <v>68</v>
      </c>
      <c r="DI7" s="126" t="s">
        <v>730</v>
      </c>
      <c r="DJ7" s="126" t="s">
        <v>735</v>
      </c>
      <c r="DK7" s="126" t="s">
        <v>736</v>
      </c>
      <c r="DL7" s="126" t="s">
        <v>737</v>
      </c>
      <c r="DM7" s="126" t="s">
        <v>738</v>
      </c>
      <c r="DN7" s="126" t="s">
        <v>739</v>
      </c>
      <c r="DO7" s="126" t="s">
        <v>740</v>
      </c>
      <c r="DP7" s="126" t="s">
        <v>741</v>
      </c>
      <c r="DQ7" s="126" t="s">
        <v>742</v>
      </c>
      <c r="DR7" s="126" t="s">
        <v>760</v>
      </c>
      <c r="DS7" s="126" t="s">
        <v>761</v>
      </c>
      <c r="DT7" s="126" t="s">
        <v>762</v>
      </c>
      <c r="DU7" s="126" t="s">
        <v>763</v>
      </c>
      <c r="DV7" s="126" t="s">
        <v>733</v>
      </c>
      <c r="DW7" s="126" t="s">
        <v>734</v>
      </c>
      <c r="DX7" s="126" t="s">
        <v>756</v>
      </c>
      <c r="DY7" s="126" t="s">
        <v>757</v>
      </c>
      <c r="DZ7" s="126" t="s">
        <v>758</v>
      </c>
      <c r="EA7" s="126" t="s">
        <v>759</v>
      </c>
      <c r="EB7" s="249" t="s">
        <v>810</v>
      </c>
      <c r="EC7" s="126" t="s">
        <v>811</v>
      </c>
      <c r="ED7" s="126" t="s">
        <v>1234</v>
      </c>
      <c r="EE7" s="125"/>
    </row>
    <row r="8" spans="1:135" s="131" customFormat="1" ht="30" customHeight="1" x14ac:dyDescent="0.25">
      <c r="A8" s="128">
        <v>1</v>
      </c>
      <c r="B8" s="481"/>
      <c r="C8" s="113"/>
      <c r="D8" s="502"/>
      <c r="E8" s="502"/>
      <c r="F8" s="503"/>
      <c r="G8" s="504"/>
      <c r="H8" s="505"/>
      <c r="I8" s="521" t="str">
        <f t="shared" ref="I8:I32" si="1">IF(G8="","",IF(RIGHT(G8,7)="Chiller","Tons","Btuh"))</f>
        <v/>
      </c>
      <c r="J8" s="506"/>
      <c r="K8" s="506"/>
      <c r="L8" s="507"/>
      <c r="M8" s="515"/>
      <c r="N8" s="632"/>
      <c r="O8" s="516"/>
      <c r="P8" s="516"/>
      <c r="Q8" s="517"/>
      <c r="R8" s="518"/>
      <c r="S8" s="494" t="str">
        <f t="shared" ref="S8:S32" si="2">IF(Q8="","",IF(RIGHT(Q8,7)="Chiller","Tons","Btuh"))</f>
        <v/>
      </c>
      <c r="T8" s="518"/>
      <c r="U8" s="494" t="str">
        <f t="shared" ref="U8:U32" si="3">IF(IFERROR(SEARCH("Heat",Q8,1)&gt;0,FALSE),S8,"")</f>
        <v/>
      </c>
      <c r="V8" s="517"/>
      <c r="W8" s="517"/>
      <c r="X8" s="546" t="str">
        <f t="shared" ref="X8:X32" si="4">IF(RIGHT(Q8,7)="Chiller","A","")</f>
        <v/>
      </c>
      <c r="Y8" s="517"/>
      <c r="Z8" s="517"/>
      <c r="AA8" s="519"/>
      <c r="AB8" s="519"/>
      <c r="AC8" s="639" t="str">
        <f t="shared" ref="AC8:AC32" si="5">IF(Q8="","",IF(LEFT(Q8,5)="Water","kW/ton",IF(LEFT(Q8,3)="Air","EER",IF(LEFT(Q8,4)="Room","CEER",IF(LEFT(Q8,5)="Compu","SCOP",IF(AND(BP8&lt;65000,LEFT(Q8,4)="Unit"),"EER2/SEER2","EER/IEER"))))))</f>
        <v/>
      </c>
      <c r="AD8" s="519"/>
      <c r="AE8" s="496" t="str">
        <f t="shared" ref="AE8:AE32" si="6">IFERROR(IF(BA8=0,"",IF(LEFT(Q8,4)="Pack","COP",IF((BQ8*12000)&lt;65000,"HSPF" &amp; IF(LEFT(Q8,4)="Unit","2",""),"COP"))),"")</f>
        <v/>
      </c>
      <c r="AF8" s="520"/>
      <c r="AG8" s="531"/>
      <c r="AH8" s="532"/>
      <c r="AI8" s="537"/>
      <c r="AJ8" s="407"/>
      <c r="AK8" s="407"/>
      <c r="AL8" s="408"/>
      <c r="AM8" s="678"/>
      <c r="AN8" s="682">
        <f>IFERROR(IF(AA8="",0,IF(CJ8&gt;CG8,"Does Not Meet Full Load Min",IF(BD8="NO","Check Change in Capacity",IF(BC8=1,0,IFERROR(ROUND(CZ8,2),""))))),0)</f>
        <v>0</v>
      </c>
      <c r="AO8" s="676">
        <f>IFERROR(IF(AA8="",0,IF(CJ8&gt;CG8,"Does Not Meet Full Load Min",IF(BD8="NO","Check Change in Capacity",IF(BC8=1,0,IFERROR(ROUND(CY8,2),""))))),0)</f>
        <v>0</v>
      </c>
      <c r="AP8" s="540">
        <f t="shared" ref="AP8:AP32" si="7">IFERROR(IF(AND(OR(IFERROR(SEARCH("Terminal",Q8)&gt;0,FALSE),IFERROR(SEARCH("Room",Q8)&gt;0,FALSE)),AA8=""),0,IF(AND(IFERROR(SEARCH("Terminal",Q8)&lt;0,TRUE),IFERROR(SEARCH("Room",Q8)&lt;0,TRUE),AB8=""),0,IF(CK8&gt;CH8,"Does Not Meet Part Load Min",IF(BD8="NO","Check Change in Capacity",IF(BC8=1,0,ROUND((DA8+DB8),0)))))),0)</f>
        <v>0</v>
      </c>
      <c r="AQ8" s="541">
        <f>IFERROR(IF($AR$3&lt;'Utility Admin'!$I$2,AR8,'Utility Admin'!$I$2/Inventory!$AR$3*AR8),0)</f>
        <v>0</v>
      </c>
      <c r="AR8" s="601">
        <f t="shared" ref="AR8:AR32" si="8">IFERROR(AN8*DC8+AO8*DD8+AP8*DE8,0)</f>
        <v>0</v>
      </c>
      <c r="AS8" s="607">
        <f t="shared" ref="AS8" si="9">IFERROR(ProjectCost-SUM(AS9:AS32),0)</f>
        <v>0</v>
      </c>
      <c r="AT8" s="225"/>
      <c r="AU8" s="524" t="str">
        <f t="shared" ref="AU8:AU32" si="10">IFERROR(IF(OR(AC8="",R8=""),"",IF(AC8="kW/ton",CG8,IF(AC8="SCOP",3.517,12)/CG8)),"")</f>
        <v/>
      </c>
      <c r="AV8" s="544" t="str">
        <f t="shared" ref="AV8:AV32" si="11">IFERROR(IF(OR(R8="",AC8=""),"",IF(AC8="kW/ton",CH8,IF(AC8="SCOP",3.517,12)/CH8)),"")</f>
        <v/>
      </c>
      <c r="AW8" s="525" t="str">
        <f>IF(AC8="","",AC8)</f>
        <v/>
      </c>
      <c r="AX8" s="526" t="str">
        <f t="shared" ref="AX8:AX32" si="12">IF(T8="","",IFERROR(IF(IFERROR(SEARCH("Heat",Q8,1)&gt;0,FALSE),IF(LEFT(AE8,4)="HSPF",12/CI8,IF(AE8="COP",12/3.412/CI8,"")),""),""))</f>
        <v/>
      </c>
      <c r="AY8" s="527" t="str">
        <f>IF(AE8="","",AE8)</f>
        <v/>
      </c>
      <c r="AZ8" s="399"/>
      <c r="BA8" s="417">
        <f t="shared" ref="BA8:BA32" si="13">IF(IFERROR(SEARCH("Heat Pump",Q8)&gt;0,FALSE),IF(IFERROR(SEARCH("Room",Q8)&gt;0,FALSE),0,1),0)</f>
        <v>0</v>
      </c>
      <c r="BB8" s="131">
        <f t="shared" ref="BB8:BB32" si="14">IF(OR(Q8="Water Cooled Chiller",Q8="Air Cooled Chiller"),IF(AND($B8="Early Retirement",$G8="Air Cooled Chiller",$Q8="Water Cooled Chiller"),3,IF(TRM="CPS",2,IF(TRM="ARTRM9.2",1,0))),0)</f>
        <v>0</v>
      </c>
      <c r="BC8" s="131">
        <f t="shared" ref="BC8:BC32" si="15">IF(AND(B8="Early Retirement",G8&lt;&gt;"",Q8&lt;&gt;"",G8&lt;&gt;Q8,NOT(AND(G8="Air Cooled Chiller",Q8="Water Cooled Chiller")),NOT(AND(G8="Unitary Air Conditioner",Q8="Unitary Heat Pump"))),1,0)</f>
        <v>0</v>
      </c>
      <c r="BD8" s="228" t="str">
        <f>IF(OR(H8="", K8="", R8="", AF8=""), "", IF(AND(B8="Early Retirement", BG8*K8*0.8&gt;BN8*AF8), "CAP", "YES"))</f>
        <v/>
      </c>
      <c r="BE8" s="228">
        <f t="shared" ref="BE8" si="16">(Y8*AF8+Z8)*0.746*0.8/0.86</f>
        <v>0</v>
      </c>
      <c r="BF8" s="761" t="str">
        <f>IF('Project Info'!$D$7="TX",INDEX(EFLH!$U$4:$U$31,MATCH(C8,TX_EFLHSanAntonio[Building Type],0),1),'Project Info'!$D$7&amp;"EquipmentType")</f>
        <v>EquipmentType</v>
      </c>
      <c r="BG8" s="229">
        <f t="shared" ref="BG8:BG32" si="17">IF(I8="tons",H8,IF(I8="Btuh",H8/12000,0))</f>
        <v>0</v>
      </c>
      <c r="BH8" s="229">
        <f t="shared" ref="BH8:BH32" si="18">IF(BD8="CAP",BN8*1.2*AF8,BG8*K8)</f>
        <v>0</v>
      </c>
      <c r="BI8" s="229">
        <f t="shared" ref="BI8:BI32" si="19">IF(I8="Btuh",H8,IF(I8="tons",H8*12000,0))</f>
        <v>0</v>
      </c>
      <c r="BJ8" s="230" t="e">
        <f>HLOOKUP(BI8,'Equipment Lookups'!$L$4:$AE$55,VLOOKUP(Inventory!BL8,'Equipment Lookups'!$J$5:$K$55,2,FALSE),TRUE)</f>
        <v>#N/A</v>
      </c>
      <c r="BK8" s="231" t="str" cm="1">
        <f t="array" ref="BK8">IF(L8="","",MAX(IF(L8="Unknown",ProgramYear-INDEX('Equipment Lookups'!$AF$5:$AF$38,MATCH(Inventory!BL8,'Equipment Lookups'!$J$5:$J$38,0)),_xlfn.NUMBERVALUE(RIGHT(L8,4))),INDEX(BaselineRow,1)))</f>
        <v/>
      </c>
      <c r="BL8" s="232" t="str">
        <f>SUBSTITUTE(SUBSTITUTE(CONCATENATE(IF(G8="Packaged Terminal AC","PackagedTerminalAirConditioner",IF(G8="Packaged Terminal HP","PackagedTerminalHeatPump",G8)),IF(OR(G8="Packaged Terminal AC",G8="Packaged Terminal HP"),IF(J8="","StandardSize",J8),J8))," ",""),"/","")</f>
        <v/>
      </c>
      <c r="BM8" s="232" t="e">
        <f t="shared" ref="BM8:BM32" si="20">SUBSTITUTE(SUBSTITUTE(CONCATENATE(IF(G8="Packaged Terminal AC","PackagedTerminalAirConditioner",IF(G8="Packaged Terminal HP","PackagedTerminalHeatPump",G8)),IF(OR(G8="Packaged Terminal AC",G8="Packaged Terminal HP"),IF(J8="","StandardSize",J8),IF(AND(State="TX",LEFT(G8,7)="Unitary",BI8&gt;=65000),IF(OR(J8="",J8="Packaged",J8="Split"),"Other",J8),IF(AND(LEFT(G8,7)="Unitary",BI8&gt;=45000,BI8&lt;65000),IF(OR(J8="",J8="Other"),"Split",J8),J8))),IF(BB8&gt;0,IF(X8="","A",X8),""),BJ8)," ",""),"/","")</f>
        <v>#N/A</v>
      </c>
      <c r="BN8" s="229">
        <f>IF(S8="tons",R8,IF(S8="Btuh",R8/12000,0))</f>
        <v>0</v>
      </c>
      <c r="BO8" s="229">
        <f t="shared" ref="BO8:BO9" si="21">IF(BG8=0, BN8*AF8, IF(BG8&gt;=BN8, IF(AF8="", "", BN8*AF8), IF(AF8="", "", BG8*AF8)))</f>
        <v>0</v>
      </c>
      <c r="BP8" s="229">
        <f>BN8*12000</f>
        <v>0</v>
      </c>
      <c r="BQ8" s="229">
        <f>IF(U8="tons", (IF(OR(BG8&gt;=T8, BG8=0)=TRUE,T8,BG8)),IF(U8="Btuh",(IF(OR(BG8&gt;=T8/12000, BG8=0)=TRUE,T8/12000,BG8)),0))</f>
        <v>0</v>
      </c>
      <c r="BR8" s="229" t="e">
        <f>HLOOKUP(BP8,'Equipment Lookups'!$L$4:$AE$55,VLOOKUP(Inventory!BS8,'Equipment Lookups'!$J$5:$K$55,2,FALSE),TRUE)</f>
        <v>#N/A</v>
      </c>
      <c r="BS8" s="232" t="str">
        <f>SUBSTITUTE(SUBSTITUTE(CONCATENATE(IF(Q8="Packaged Terminal AC","PackagedTerminalAirConditioner",IF(Q8="Packaged Terminal HP","PackagedTerminalHeatPump",Q8)),IF(OR(Q8="Packaged Terminal AC",Q8="Packaged Terminal HP"),IF(V8="","StandardSize",V8),V8))," ",""),"/","")</f>
        <v/>
      </c>
      <c r="BT8" s="232" t="e">
        <f t="shared" ref="BT8:BT32" si="22">SUBSTITUTE(SUBSTITUTE(CONCATENATE(IF(Q8="Packaged Terminal AC","PackagedTerminalAirConditioner",IF(Q8="Packaged Terminal HP","PackagedTerminalHeatPump",Q8)),IF(OR(Q8="Packaged Terminal AC",Q8="Packaged Terminal HP"),IF(V8="","StandardSize",V8),IF(AND(State="TX",LEFT(Q8,7)="Unitary",BP8&gt;65000),IF(OR(V8="",V8="Packaged",V8="Split"),"Other",V8),IF(AND(Q8="Unitary Heat Pump",BP8&gt;=45000,BP8&lt;=65000),IF(OR(V8="",V8="Other"),"Split",V8),V8))),W8,IF(BB8&gt;0,IF(X8="","A",X8),""),BR8)," ",""),"/","")</f>
        <v>#N/A</v>
      </c>
      <c r="BU8" s="230" t="e">
        <f>INDEX('Equipment Lookups'!$AG$5:$AG$55,MATCH(Inventory!BS8,'Equipment Lookups'!$J$5:$J$55,0))</f>
        <v>#N/A</v>
      </c>
      <c r="BV8" s="567" t="str">
        <f ca="1">IFERROR(IF(AL8&lt;&gt;"",AL8,IF(State="TX",INDEX(TX_EFLHSanAntonio[[CFAir Cooled Chiller]:[CFPTRoom]],MATCH(Inventory!C8,TX_EFLHSanAntonio[Building Type],0),MATCH(BU8,EFLH!$G$2:$J$2,0)),VLOOKUP(C8,INDIRECT($BY$5),4,FALSE))),"-")</f>
        <v>-</v>
      </c>
      <c r="BW8" s="578" t="str">
        <f ca="1">IFERROR(IF(AJ8&lt;&gt;"",AJ8,IF(State="TX",INDEX(TX_EFLHSanAntonio[[EFLHcAir Cooled Chiller]:[EFLHcPTRoom]],MATCH(Inventory!C8,TX_EFLHSanAntonio[Building Type],0),MATCH(BU8,EFLH!$O$2:$R$2,0)),VLOOKUP(C8,INDIRECT($BY$5),2,FALSE))),"-")</f>
        <v>-</v>
      </c>
      <c r="BX8" s="579" t="str">
        <f ca="1">IFERROR(IF(AK8&lt;&gt;"",AK8,IF(State="TX",INDEX(TX_EFLHSanAntonio[[EFLHhDX]:[EFLHhPTRoom]],MATCH(Inventory!C8,TX_EFLHSanAntonio[Building Type],0),MATCH(BU8,EFLH!$S$2:$T$2,0)),VLOOKUP(C8,INDIRECT($BY$5),3,FALSE))),"-")</f>
        <v>-</v>
      </c>
      <c r="BY8" s="565">
        <f>IF(AM8&lt;&gt;"",AM8,IF(State="TX",INDEX(TX_EFLHSanAntonio[[NCPAir Cooled Chiller]:[NCPPTRoom]],MATCH(Inventory!C8,TX_EFLHSanAntonio[Building Type],0),MATCH(BU8,EFLH!$K$2:$N$2,0)),0))</f>
        <v>0</v>
      </c>
      <c r="BZ8" s="598" t="e">
        <f t="shared" ref="BZ8:BZ32" ca="1" si="23">_xlfn.SINGLE(IF(IFERROR(SEARCH("Terminal",G8,1)&gt;0,FALSE),12/(INDEX(INDIRECT(BM8),MATCH(BK8,BaselineRow,0),1)+INDEX(INDIRECT(BM8),MATCH(BK8,BaselineRow,0),2)*BI8),INDEX(INDIRECT(BM8),MATCH(BK8,BaselineRow,0),1)))</f>
        <v>#N/A</v>
      </c>
      <c r="CA8" s="599" t="e">
        <f t="shared" ref="CA8:CA32" ca="1" si="24">_xlfn.SINGLE(IF(IFERROR(SEARCH("Terminal",G8,1)&gt;0,FALSE),BZ8,INDEX(INDIRECT(BM8),MATCH(BK8,BaselineRow,0),2)))</f>
        <v>#N/A</v>
      </c>
      <c r="CB8" s="599" t="str">
        <f t="shared" ref="CB8:CB32" ca="1" si="25">IF(IFERROR(SEARCH("Heat",G8,1)&gt;0,FALSE),IF(IFERROR(SEARCH("Terminal",G8,1)&gt;0,FALSE),12/3.412/(INDEX(INDIRECT(BM8),MATCH(BK8,BaselineRow,0),3)+INDEX(INDIRECT(BM8),MATCH(BK8,BaselineRow,0),4)*BI8),INDEX(INDIRECT(BM8),MATCH(BK8,BaselineRow,0),IF(IFERROR(SEARCH("Unitary",G8,1)&gt;0,FALSE),3,3))),"")</f>
        <v/>
      </c>
      <c r="CC8" s="599" t="e">
        <f t="shared" ref="CC8:CC32" ca="1" si="26">IF(AG8&lt;&gt;"",AG8,IF(IFERROR(SEARCH("Terminal",Q8,1)&gt;0,FALSE),12/(INDEX(INDIRECT(BT8),MATCH(TRM,BaselineRow,0),1)+INDEX(INDIRECT(BT8),MATCH(TRM,BaselineRow,0),2)*BP8),INDEX(INDIRECT(BT8),IF(CF8,COUNTA(BaselineRow)+1,MATCH(TRM,BaselineRow,0)),1)))</f>
        <v>#N/A</v>
      </c>
      <c r="CD8" s="599" t="e">
        <f t="shared" ref="CD8:CD32" ca="1" si="27">_xlfn.SINGLE(IF(AH8&lt;&gt;"",AH8,IF(IFERROR(SEARCH("Terminal",Q8,1)&gt;0,FALSE),CC8,INDEX(INDIRECT(BT8),MATCH(TRM,BaselineRow,0),2))))</f>
        <v>#N/A</v>
      </c>
      <c r="CE8" s="599" t="str">
        <f t="shared" ref="CE8:CE32" ca="1" si="28">_xlfn.SINGLE(IF(AI8&lt;&gt;"",12/3.412/AI8,IF(IFERROR(SEARCH("Heat",Q8,1)&gt;0,FALSE),IF(IFERROR(SEARCH("Terminal",Q8,1)&gt;0,FALSE),12/3.412/(INDEX(INDIRECT(BT8),MATCH(TRM,BaselineRow,0),3)+INDEX(INDIRECT(BT8),MATCH(TRM,BaselineRow,0),4)*BP8),INDEX(INDIRECT(BT8),MATCH(TRM,BaselineRow,0),3)),"")))</f>
        <v/>
      </c>
      <c r="CF8" s="599" t="b">
        <f t="shared" ref="CF8:CF32" si="29">AND(LEFT(Q8,4)="Unit",BP8&lt;65000,CK8&lt;=12/15.2)</f>
        <v>0</v>
      </c>
      <c r="CG8" s="599" t="e">
        <f t="shared" ref="CG8:CG32" ca="1" si="30">IF(AG8&lt;&gt;"",AG8,IF(IFERROR(SEARCH("Terminal",Q8,1)&gt;0,FALSE),12/(INDEX(INDIRECT(BT8),MATCH(TRM,BaselineRow,0),1)+INDEX(INDIRECT(BT8),MATCH(TRM,BaselineRow,0),2)*BP8),INDEX(INDIRECT(BT8),IF(CF8,COUNTA(BaselineRow)+1,MATCH(TRM,BaselineRow,0)),1)))</f>
        <v>#N/A</v>
      </c>
      <c r="CH8" s="599" t="e">
        <f t="shared" ref="CH8:CH32" ca="1" si="31">_xlfn.SINGLE(IF(AH8&lt;&gt;"",AH8,IF(IFERROR(SEARCH("Terminal",Q8,1)&gt;0,FALSE),CG8,INDEX(INDIRECT(BT8),MATCH(TRM,BaselineRow,0),2))))</f>
        <v>#N/A</v>
      </c>
      <c r="CI8" s="599" t="str">
        <f t="shared" ref="CI8:CI32" ca="1" si="32">_xlfn.SINGLE(IF(AI8&lt;&gt;"",12/3.412/AI8,IF(IFERROR(SEARCH("Heat",Q8,1)&gt;0,FALSE),IF(IFERROR(SEARCH("Terminal",Q8,1)&gt;0,FALSE),12/3.412/(INDEX(INDIRECT(BT8),MATCH(TRM,BaselineRow,0),3)+INDEX(INDIRECT(BT8),MATCH(TRM,BaselineRow,0),4)*BP8),INDEX(INDIRECT(BT8),MATCH(TRM,BaselineRow,0),3)),"")))</f>
        <v/>
      </c>
      <c r="CJ8" s="599" t="str">
        <f t="shared" ref="CJ8:CJ32" si="33">IFERROR(IF(AC8="kW/ton",AA8,IF(AC8="SCOP",3.517,12)/AA8),"")</f>
        <v/>
      </c>
      <c r="CK8" s="599" t="str">
        <f t="shared" ref="CK8:CK32" si="34">IFERROR(IF(IFERROR(SEARCH("Terminal",Q8,1)&gt;0,FALSE),12/AA8,IF(IFERROR(SEARCH("Room",Q8,1)&gt;0,FALSE),IF(AC8="SCOP",3.517,12)/AA8,IF(AB8="","",IF(LEFT(AC8,3)="EER",12/AB8,AB8)))),"")</f>
        <v/>
      </c>
      <c r="CL8" s="600" t="str">
        <f t="shared" ref="CL8:CL32" si="35">IFERROR(IF(IFERROR(SEARCH("Room",Q8,1)&gt;0,FALSE),12/AA8,IF(LEFT(AE8,4)="HSPF",12/AD8,IF(AE8="COP",12/3.412/AD8,""))),"")</f>
        <v/>
      </c>
      <c r="CM8" s="228" t="e">
        <f t="shared" ref="CM8:CM32" ca="1" si="36">MAX((BH8*BZ8-BO8*CJ8)*BV8-BE8,0)</f>
        <v>#N/A</v>
      </c>
      <c r="CN8" s="228" t="e">
        <f t="shared" ref="CN8:CN32" ca="1" si="37">MAX((BH8*BZ8-BO8*CJ8)*BY8-BE8,0)</f>
        <v>#N/A</v>
      </c>
      <c r="CO8" s="232" t="e">
        <f t="shared" ref="CO8:CO32" ca="1" si="38">MAX((BH8*CA8-BO8*CK8)*BW8-BE8*8760,0)</f>
        <v>#N/A</v>
      </c>
      <c r="CP8" s="232">
        <f t="shared" ref="CP8:CP32" ca="1" si="39">MAX(IFERROR((BH8*CB8-AF8*BQ8*CL8)*BX8,0),0)</f>
        <v>0</v>
      </c>
      <c r="CQ8" s="228" t="e">
        <f t="shared" ref="CQ8:CQ32" ca="1" si="40">BO8*(CC8-CJ8)*BV8</f>
        <v>#N/A</v>
      </c>
      <c r="CR8" s="228" t="e">
        <f t="shared" ref="CR8:CR32" ca="1" si="41">BO8*(CC8-CJ8)*BY8</f>
        <v>#N/A</v>
      </c>
      <c r="CS8" s="232" t="e">
        <f t="shared" ref="CS8:CS32" ca="1" si="42">BO8*(CD8-CK8)*BW8</f>
        <v>#N/A</v>
      </c>
      <c r="CT8" s="232" t="e">
        <f t="shared" ref="CT8:CT32" ca="1" si="43">AF8*BQ8*(CE8-CL8)*BX8</f>
        <v>#VALUE!</v>
      </c>
      <c r="CU8" s="228" t="e">
        <f t="shared" ref="CU8:CU32" ca="1" si="44">BO8*(CG8-CJ8)*BV8</f>
        <v>#N/A</v>
      </c>
      <c r="CV8" s="228" t="e">
        <f t="shared" ref="CV8:CV32" ca="1" si="45">BO8*(CG8-CJ8)*BY8</f>
        <v>#N/A</v>
      </c>
      <c r="CW8" s="232" t="e">
        <f t="shared" ref="CW8:CW32" ca="1" si="46">BO8*(CH8-CK8)*BW8</f>
        <v>#N/A</v>
      </c>
      <c r="CX8" s="237" t="e">
        <f t="shared" ref="CX8:CX32" ca="1" si="47">AF8*BQ8*(CI8-CL8)*BX8</f>
        <v>#VALUE!</v>
      </c>
      <c r="CY8" s="233">
        <f>IFERROR(IF($B8="Early Retirement",DX8,IF($B8="Replace on Burnout",CQ8,IF($B8="New Construction",CU8,0))),0)</f>
        <v>0</v>
      </c>
      <c r="CZ8" s="233">
        <f>IFERROR(IF($B8="Early Retirement",DY8,IF($B8="Replace on Burnout",CR8,IF($B8="New Construction",CV8,0))),0)</f>
        <v>0</v>
      </c>
      <c r="DA8" s="246">
        <f>IFERROR(IF($B8="Early Retirement",DZ8,IF($B8="Replace on Burnout",CS8,IF($B8="New Construction",CW8,0))),0)</f>
        <v>0</v>
      </c>
      <c r="DB8" s="246">
        <f>IFERROR(IF($B8="Early Retirement",EA8,IF($B8="Replace on Burnout",CT8,IF($B8="New Construction",CX8,0))),0)</f>
        <v>0</v>
      </c>
      <c r="DC8" s="562" t="e">
        <f>INDEX('Utility Admin'!$P$2:$AD$2,1,MATCH($Q8,'Utility Admin'!$P$3:$AD$3,0))</f>
        <v>#N/A</v>
      </c>
      <c r="DD8" s="131" t="e">
        <f>INDEX('Utility Admin'!AE$2:AS$2,1,MATCH($Q8,'Utility Admin'!$P$3:$AD$3,0))</f>
        <v>#N/A</v>
      </c>
      <c r="DE8" s="239" t="e">
        <f>IF(kWhOverride="",INDEX('Utility Admin'!$AT$2:$BH$2,1,MATCH($Q8,'Utility Admin'!$P$3:$AD$3,0)),kWhOverride)</f>
        <v>#N/A</v>
      </c>
      <c r="DF8" s="230" t="str" cm="1">
        <f t="array" ref="DF8">IF(B8="New Construction","",IF(L8="","",MAX(ProgramYear-BK8,1,)))</f>
        <v/>
      </c>
      <c r="DG8" s="234" t="e">
        <f>INDEX('Equipment Lookups'!$AI$5:$BV$55,MATCH(Inventory!BL8,'Equipment Lookups'!$J$5:$J$55,0),MATCH(Inventory!DF8,'Equipment Lookups'!$AI$4:$BV$4,0))</f>
        <v>#N/A</v>
      </c>
      <c r="DH8" s="230" t="e">
        <f>INDEX('Equipment Lookups'!$AH$5:$AH$55,MATCH(Inventory!BS8,'Equipment Lookups'!$J$5:$J$55,0))</f>
        <v>#N/A</v>
      </c>
      <c r="DI8" s="131" t="e">
        <f t="shared" ref="DI8" si="48">DH8-DG8</f>
        <v>#N/A</v>
      </c>
      <c r="DJ8" s="131" t="e">
        <f t="shared" ref="DJ8" ca="1" si="49" xml:space="preserve"> ACkW * (1+escalation)/(discount-escalation) * (1 - ((1+escalation)/(1+discount))^DG8) * CM8</f>
        <v>#N/A</v>
      </c>
      <c r="DK8" s="131" t="e">
        <f t="shared" ref="DK8" ca="1" si="50" xml:space="preserve"> ACkW * (1+escalation)/(discount-escalation) * (1 - ((1+escalation)/(1+discount))^DI8) * (1+escalation)^DG8/(1+discount)^DG8 * CQ8</f>
        <v>#N/A</v>
      </c>
      <c r="DL8" s="131" t="e">
        <f t="shared" ref="DL8" ca="1" si="51" xml:space="preserve"> ACkW * (1+escalation)/(discount-escalation) * (1 - ((1+escalation)/(1+discount))^DG8) * CN8</f>
        <v>#N/A</v>
      </c>
      <c r="DM8" s="131" t="e">
        <f t="shared" ref="DM8" ca="1" si="52" xml:space="preserve"> ACkW * (1+escalation)/(discount-escalation) * (1 - ((1+escalation)/(1+discount))^DI8) * (1+escalation)^DG8/(1+discount)^DG8 * CR8</f>
        <v>#N/A</v>
      </c>
      <c r="DN8" s="131" t="e">
        <f t="shared" ref="DN8" ca="1" si="53" xml:space="preserve"> ACkWh * (1+escalation)/(discount-escalation) * (1 - ((1+escalation)/(1+discount))^DG8) * CO8</f>
        <v>#N/A</v>
      </c>
      <c r="DO8" s="131" t="e">
        <f t="shared" ref="DO8" ca="1" si="54" xml:space="preserve"> ACkWh * (1+escalation)/(discount-escalation) * (1 - ((1+escalation)/(1+discount))^DI8) * (1+escalation)^DG8/(1+discount)^DG8 * CS8</f>
        <v>#N/A</v>
      </c>
      <c r="DP8" s="131" t="e">
        <f t="shared" ref="DP8" ca="1" si="55" xml:space="preserve"> ACkWh * (1+escalation)/(discount-escalation) * (1 - ((1+escalation)/(1+discount))^DG8) * CP8</f>
        <v>#N/A</v>
      </c>
      <c r="DQ8" s="131" t="e">
        <f t="shared" ref="DQ8" ca="1" si="56" xml:space="preserve"> ACkWh * (1+escalation)/(discount-escalation) * (1 - ((1+escalation)/(1+discount))^DI8) * (1+escalation)^DG8/(1+discount)^DG8 * CT8</f>
        <v>#N/A</v>
      </c>
      <c r="DR8" s="131" t="e">
        <f t="shared" ref="DR8" ca="1" si="57">DJ8+DK8</f>
        <v>#N/A</v>
      </c>
      <c r="DS8" s="131" t="e">
        <f t="shared" ref="DS8" ca="1" si="58">DL8+DM8</f>
        <v>#N/A</v>
      </c>
      <c r="DT8" s="131" t="e">
        <f t="shared" ref="DT8" ca="1" si="59">DN8+DO8</f>
        <v>#N/A</v>
      </c>
      <c r="DU8" s="131" t="e">
        <f t="shared" ref="DU8" ca="1" si="60">DP8+DQ8</f>
        <v>#N/A</v>
      </c>
      <c r="DV8" s="131" t="e">
        <f t="shared" ref="DV8" si="61" xml:space="preserve"> ACkW * (1+escalation)/(discount-escalation) * (1 - ((1+escalation)/(1+discount))^DH8)</f>
        <v>#N/A</v>
      </c>
      <c r="DW8" s="131" t="e">
        <f t="shared" ref="DW8" si="62" xml:space="preserve"> ACkWh * (1+escalation)/(discount-escalation) * (1 - ((1+escalation)/(1+discount))^DH8)</f>
        <v>#N/A</v>
      </c>
      <c r="DX8" s="131" t="e">
        <f t="shared" ref="DX8" ca="1" si="63">DR8/DV8</f>
        <v>#N/A</v>
      </c>
      <c r="DY8" s="131" t="e">
        <f ca="1">DS8/DV8</f>
        <v>#N/A</v>
      </c>
      <c r="DZ8" s="131" t="e">
        <f ca="1">DT8/DW8</f>
        <v>#N/A</v>
      </c>
      <c r="EA8" s="131" t="e">
        <f ca="1">DU8/DW8</f>
        <v>#N/A</v>
      </c>
      <c r="EB8" s="250">
        <f t="shared" ref="EB8:EB32" ca="1" si="64">K8*IFERROR(IF(B8="Early Retirement",CA8*BG8*K8,CD8*BO8)*BW8,0)</f>
        <v>0</v>
      </c>
      <c r="EC8" s="131">
        <f t="shared" ref="EC8:EC32" ca="1" si="65">K8*IFERROR(IF(B8="Early Retirement",BZ8*BG8*K8,CC8*BO8)*BV8,0)</f>
        <v>0</v>
      </c>
      <c r="ED8" s="131">
        <f t="shared" ref="ED8:ED32" ca="1" si="66">IFERROR(BO8*BW8*CK8,0)</f>
        <v>0</v>
      </c>
      <c r="EE8" s="286"/>
    </row>
    <row r="9" spans="1:135" ht="30" customHeight="1" x14ac:dyDescent="0.25">
      <c r="A9" s="132">
        <v>2</v>
      </c>
      <c r="B9" s="481"/>
      <c r="C9" s="113"/>
      <c r="D9" s="480"/>
      <c r="E9" s="480"/>
      <c r="F9" s="285"/>
      <c r="G9" s="284"/>
      <c r="H9" s="287"/>
      <c r="I9" s="521" t="str">
        <f t="shared" si="1"/>
        <v/>
      </c>
      <c r="J9" s="110"/>
      <c r="K9" s="110"/>
      <c r="L9" s="114"/>
      <c r="M9" s="498"/>
      <c r="N9" s="633"/>
      <c r="O9" s="111"/>
      <c r="P9" s="111"/>
      <c r="Q9" s="110"/>
      <c r="R9" s="288"/>
      <c r="S9" s="494" t="str">
        <f t="shared" si="2"/>
        <v/>
      </c>
      <c r="T9" s="288"/>
      <c r="U9" s="494" t="str">
        <f t="shared" si="3"/>
        <v/>
      </c>
      <c r="V9" s="110"/>
      <c r="W9" s="110"/>
      <c r="X9" s="546" t="str">
        <f t="shared" si="4"/>
        <v/>
      </c>
      <c r="Y9" s="110"/>
      <c r="Z9" s="110"/>
      <c r="AA9" s="112"/>
      <c r="AB9" s="112"/>
      <c r="AC9" s="639" t="str">
        <f t="shared" si="5"/>
        <v/>
      </c>
      <c r="AD9" s="112"/>
      <c r="AE9" s="496" t="str">
        <f t="shared" si="6"/>
        <v/>
      </c>
      <c r="AF9" s="482"/>
      <c r="AG9" s="533"/>
      <c r="AH9" s="534"/>
      <c r="AI9" s="538"/>
      <c r="AJ9" s="409"/>
      <c r="AK9" s="409"/>
      <c r="AL9" s="112"/>
      <c r="AM9" s="679"/>
      <c r="AN9" s="683">
        <f t="shared" ref="AN9:AN32" si="67">IFERROR(IF(AA9="",0,IF(CJ9&gt;CG9,"Does Not Meet Full Load Min",IF(BD9="NO","Check Change in Capacity",IF(BC9=1,0,IFERROR(ROUND(CZ9,2),""))))),0)</f>
        <v>0</v>
      </c>
      <c r="AO9" s="681">
        <f t="shared" ref="AO9:AO32" si="68">IFERROR(IF(AA9="",0,IF(CJ9&gt;CG9,"Does Not Meet Full Load Min",IF(BD9="NO","Check Change in Capacity",IF(BC9=1,0,IFERROR(ROUND(CY9,2),""))))),0)</f>
        <v>0</v>
      </c>
      <c r="AP9" s="223">
        <f t="shared" si="7"/>
        <v>0</v>
      </c>
      <c r="AQ9" s="224">
        <f>IFERROR(IF($AR$3&lt;'Utility Admin'!$I$2,AR9,'Utility Admin'!$I$2/Inventory!$AR$3*AR9),0)</f>
        <v>0</v>
      </c>
      <c r="AR9" s="602">
        <f t="shared" si="8"/>
        <v>0</v>
      </c>
      <c r="AS9" s="604">
        <f t="shared" ref="AS9:AS32" si="69">IFERROR(AF9*BN9/SUMPRODUCT(BN$8:BN$32,AF$8:AF$32)*ProjectCost,0)</f>
        <v>0</v>
      </c>
      <c r="AT9" s="225"/>
      <c r="AU9" s="511" t="str">
        <f t="shared" si="10"/>
        <v/>
      </c>
      <c r="AV9" s="545" t="str">
        <f t="shared" si="11"/>
        <v/>
      </c>
      <c r="AW9" s="129" t="str">
        <f t="shared" ref="AW9:AW32" si="70">IF(AC9="","",AC9)</f>
        <v/>
      </c>
      <c r="AX9" s="542" t="str">
        <f t="shared" si="12"/>
        <v/>
      </c>
      <c r="AY9" s="130" t="str">
        <f t="shared" ref="AY9:AY32" si="71">IF(AE9="","",AE9)</f>
        <v/>
      </c>
      <c r="AZ9" s="399"/>
      <c r="BA9" s="417">
        <f t="shared" si="13"/>
        <v>0</v>
      </c>
      <c r="BB9" s="131">
        <f t="shared" si="14"/>
        <v>0</v>
      </c>
      <c r="BC9" s="131">
        <f t="shared" si="15"/>
        <v>0</v>
      </c>
      <c r="BD9" s="228" t="str">
        <f t="shared" ref="BD9:BD32" si="72">IF(OR(H9="", K9="", R9="", AF9=""), "", IF(AND(B9="Early Retirement", BG9*K9*0.8&gt;BN9*AF9), "CAP", "YES"))</f>
        <v/>
      </c>
      <c r="BE9" s="228">
        <f t="shared" ref="BE9:BE32" si="73">(Y9*AF9+Z9)*0.746*0.8/0.86</f>
        <v>0</v>
      </c>
      <c r="BF9" s="761" t="str">
        <f>IF('Project Info'!$D$7="TX",INDEX(EFLH!$U$4:$U$31,MATCH(C9,TX_EFLHSanAntonio[Building Type],0),1),'Project Info'!$D$7&amp;"EquipmentType")</f>
        <v>EquipmentType</v>
      </c>
      <c r="BG9" s="229">
        <f t="shared" si="17"/>
        <v>0</v>
      </c>
      <c r="BH9" s="229">
        <f t="shared" si="18"/>
        <v>0</v>
      </c>
      <c r="BI9" s="229">
        <f t="shared" si="19"/>
        <v>0</v>
      </c>
      <c r="BJ9" s="230" t="e">
        <f>HLOOKUP(BI9,'Equipment Lookups'!$L$4:$AE$55,VLOOKUP(Inventory!BL9,'Equipment Lookups'!$J$5:$K$55,2,FALSE),TRUE)</f>
        <v>#N/A</v>
      </c>
      <c r="BK9" s="231" t="str" cm="1">
        <f t="array" ref="BK9">IF(L9="","",MAX(IF(L9="Unknown",ProgramYear-INDEX('Equipment Lookups'!$AF$5:$AF$38,MATCH(Inventory!BL9,'Equipment Lookups'!$J$5:$J$38,0)),_xlfn.NUMBERVALUE(RIGHT(L9,4))),INDEX(BaselineRow,1)))</f>
        <v/>
      </c>
      <c r="BL9" s="232" t="str">
        <f t="shared" ref="BL9:BL32" si="74">SUBSTITUTE(SUBSTITUTE(CONCATENATE(IF(G9="Packaged Terminal AC","PackagedTerminalAirConditioner",IF(G9="Packaged Terminal HP","PackagedTerminalHeatPump",G9)),IF(OR(G9="Packaged Terminal AC",G9="Packaged Terminal HP"),IF(J9="","StandardSize",J9),J9))," ",""),"/","")</f>
        <v/>
      </c>
      <c r="BM9" s="232" t="e">
        <f t="shared" si="20"/>
        <v>#N/A</v>
      </c>
      <c r="BN9" s="229">
        <f>IF(S9="tons",R9,IF(S9="Btuh",R9/12000,0))</f>
        <v>0</v>
      </c>
      <c r="BO9" s="229">
        <f t="shared" si="21"/>
        <v>0</v>
      </c>
      <c r="BP9" s="229">
        <f>BN9*12000</f>
        <v>0</v>
      </c>
      <c r="BQ9" s="229">
        <f t="shared" ref="BQ9:BQ32" si="75">IF(U9="tons", (IF(OR(BG9&gt;=T9, BG9=0)=TRUE,T9,BG9)),IF(U9="Btuh",(IF(OR(BG9&gt;=T9/12000, BG9=0)=TRUE,T9/12000,BG9)),0))</f>
        <v>0</v>
      </c>
      <c r="BR9" s="229" t="e">
        <f>HLOOKUP(BP9,'Equipment Lookups'!$L$4:$AE$55,VLOOKUP(Inventory!BS9,'Equipment Lookups'!$J$5:$K$55,2,FALSE),TRUE)</f>
        <v>#N/A</v>
      </c>
      <c r="BS9" s="232" t="str">
        <f t="shared" ref="BS9:BS32" si="76">SUBSTITUTE(SUBSTITUTE(CONCATENATE(IF(Q9="Packaged Terminal AC","PackagedTerminalAirConditioner",IF(Q9="Packaged Terminal HP","PackagedTerminalHeatPump",Q9)),IF(OR(Q9="Packaged Terminal AC",Q9="Packaged Terminal HP"),IF(V9="","StandardSize",V9),V9))," ",""),"/","")</f>
        <v/>
      </c>
      <c r="BT9" s="232" t="e">
        <f t="shared" si="22"/>
        <v>#N/A</v>
      </c>
      <c r="BU9" s="230" t="e">
        <f>INDEX('Equipment Lookups'!$AG$5:$AG$55,MATCH(Inventory!BS9,'Equipment Lookups'!$J$5:$J$55,0))</f>
        <v>#N/A</v>
      </c>
      <c r="BV9" s="568" t="str">
        <f ca="1">IFERROR(IF(AL9&lt;&gt;"",AL9,IF(State="TX",INDEX(TX_EFLHSanAntonio[[CFAir Cooled Chiller]:[CFPTRoom]],MATCH(Inventory!C9,TX_EFLHSanAntonio[Building Type],0),MATCH(BU9,EFLH!$G$2:$J$2,0)),VLOOKUP(C9,INDIRECT($BY$5),4,FALSE))),"-")</f>
        <v>-</v>
      </c>
      <c r="BW9" s="580" t="str">
        <f ca="1">IFERROR(IF(AJ9&lt;&gt;"",AJ9,IF(State="TX",INDEX(TX_EFLHSanAntonio[[EFLHcAir Cooled Chiller]:[EFLHcPTRoom]],MATCH(Inventory!C9,TX_EFLHSanAntonio[Building Type],0),MATCH(BU9,EFLH!$O$2:$R$2,0)),VLOOKUP(C9,INDIRECT($BY$5),2,FALSE))),"-")</f>
        <v>-</v>
      </c>
      <c r="BX9" s="581" t="str">
        <f ca="1">IFERROR(IF(AK9&lt;&gt;"",AK9,IF(State="TX",INDEX(TX_EFLHSanAntonio[[EFLHhDX]:[EFLHhPTRoom]],MATCH(Inventory!C9,TX_EFLHSanAntonio[Building Type],0),MATCH(BU9,EFLH!$S$2:$T$2,0)),VLOOKUP(C9,INDIRECT($BY$5),3,FALSE))),"-")</f>
        <v>-</v>
      </c>
      <c r="BY9" s="565">
        <f>IF(AM9&lt;&gt;"",AM9,IF(State="TX",INDEX(TX_EFLHSanAntonio[[NCPAir Cooled Chiller]:[NCPPTRoom]],MATCH(Inventory!C9,TX_EFLHSanAntonio[Building Type],0),MATCH(BU9,EFLH!$K$2:$N$2,0)),0))</f>
        <v>0</v>
      </c>
      <c r="BZ9" s="598" t="e">
        <f t="shared" ca="1" si="23"/>
        <v>#N/A</v>
      </c>
      <c r="CA9" s="599" t="e">
        <f t="shared" ca="1" si="24"/>
        <v>#N/A</v>
      </c>
      <c r="CB9" s="599" t="str">
        <f t="shared" ca="1" si="25"/>
        <v/>
      </c>
      <c r="CC9" s="599" t="e">
        <f t="shared" ca="1" si="26"/>
        <v>#N/A</v>
      </c>
      <c r="CD9" s="599" t="e">
        <f t="shared" ca="1" si="27"/>
        <v>#N/A</v>
      </c>
      <c r="CE9" s="599" t="str">
        <f t="shared" ca="1" si="28"/>
        <v/>
      </c>
      <c r="CF9" s="599" t="b">
        <f t="shared" si="29"/>
        <v>0</v>
      </c>
      <c r="CG9" s="599" t="e">
        <f t="shared" ca="1" si="30"/>
        <v>#N/A</v>
      </c>
      <c r="CH9" s="599" t="e">
        <f t="shared" ca="1" si="31"/>
        <v>#N/A</v>
      </c>
      <c r="CI9" s="599" t="str">
        <f t="shared" ca="1" si="32"/>
        <v/>
      </c>
      <c r="CJ9" s="599" t="str">
        <f t="shared" si="33"/>
        <v/>
      </c>
      <c r="CK9" s="599" t="str">
        <f t="shared" si="34"/>
        <v/>
      </c>
      <c r="CL9" s="600" t="str">
        <f t="shared" si="35"/>
        <v/>
      </c>
      <c r="CM9" s="228" t="e">
        <f t="shared" ca="1" si="36"/>
        <v>#N/A</v>
      </c>
      <c r="CN9" s="228" t="e">
        <f t="shared" ca="1" si="37"/>
        <v>#N/A</v>
      </c>
      <c r="CO9" s="232" t="e">
        <f t="shared" ca="1" si="38"/>
        <v>#N/A</v>
      </c>
      <c r="CP9" s="232">
        <f t="shared" ca="1" si="39"/>
        <v>0</v>
      </c>
      <c r="CQ9" s="228" t="e">
        <f t="shared" ca="1" si="40"/>
        <v>#N/A</v>
      </c>
      <c r="CR9" s="228" t="e">
        <f t="shared" ca="1" si="41"/>
        <v>#N/A</v>
      </c>
      <c r="CS9" s="232" t="e">
        <f t="shared" ca="1" si="42"/>
        <v>#N/A</v>
      </c>
      <c r="CT9" s="232" t="e">
        <f t="shared" ca="1" si="43"/>
        <v>#VALUE!</v>
      </c>
      <c r="CU9" s="228" t="e">
        <f t="shared" ca="1" si="44"/>
        <v>#N/A</v>
      </c>
      <c r="CV9" s="228" t="e">
        <f t="shared" ca="1" si="45"/>
        <v>#N/A</v>
      </c>
      <c r="CW9" s="232" t="e">
        <f t="shared" ca="1" si="46"/>
        <v>#N/A</v>
      </c>
      <c r="CX9" s="237" t="e">
        <f t="shared" ca="1" si="47"/>
        <v>#VALUE!</v>
      </c>
      <c r="CY9" s="233">
        <f t="shared" ref="CY9:CY32" si="77">IFERROR(IF($B9="Early Retirement",DX9,IF($B9="Replace on Burnout",CQ9,IF($B9="New Construction",CU9,0))),0)</f>
        <v>0</v>
      </c>
      <c r="CZ9" s="233">
        <f t="shared" ref="CZ9:CZ32" si="78">IFERROR(IF($B9="Early Retirement",DY9,IF($B9="Replace on Burnout",CR9,IF($B9="New Construction",CV9,0))),0)</f>
        <v>0</v>
      </c>
      <c r="DA9" s="246">
        <f t="shared" ref="DA9:DA32" si="79">IFERROR(IF($B9="Early Retirement",DZ9,IF($B9="Replace on Burnout",CS9,IF($B9="New Construction",CW9,0))),0)</f>
        <v>0</v>
      </c>
      <c r="DB9" s="246">
        <f t="shared" ref="DB9:DB32" si="80">IFERROR(IF($B9="Early Retirement",EA9,IF($B9="Replace on Burnout",CT9,IF($B9="New Construction",CX9,0))),0)</f>
        <v>0</v>
      </c>
      <c r="DC9" s="562" t="e">
        <f>INDEX('Utility Admin'!$P$2:$AD$2,1,MATCH($Q9,'Utility Admin'!$P$3:$AD$3,0))</f>
        <v>#N/A</v>
      </c>
      <c r="DD9" s="131" t="e">
        <f>INDEX('Utility Admin'!AE$2:AS$2,1,MATCH($Q9,'Utility Admin'!$P$3:$AD$3,0))</f>
        <v>#N/A</v>
      </c>
      <c r="DE9" s="239" t="e">
        <f>IF(kWhOverride="",INDEX('Utility Admin'!$AT$2:$BH$2,1,MATCH($Q9,'Utility Admin'!$P$3:$AD$3,0)),kWhOverride)</f>
        <v>#N/A</v>
      </c>
      <c r="DF9" s="230" t="str" cm="1">
        <f t="array" ref="DF9">IF(B9="New Construction","",IF(L9="","",MAX(ProgramYear-BK9,1,)))</f>
        <v/>
      </c>
      <c r="DG9" s="234" t="e">
        <f>INDEX('Equipment Lookups'!$AI$5:$BV$55,MATCH(Inventory!BL9,'Equipment Lookups'!$J$5:$J$55,0),MATCH(Inventory!DF9,'Equipment Lookups'!$AI$4:$BV$4,0))</f>
        <v>#N/A</v>
      </c>
      <c r="DH9" s="230" t="e">
        <f>INDEX('Equipment Lookups'!$AH$5:$AH$55,MATCH(Inventory!BS9,'Equipment Lookups'!$J$5:$J$55,0))</f>
        <v>#N/A</v>
      </c>
      <c r="DI9" s="131" t="e">
        <f t="shared" ref="DI9:DI32" si="81">DH9-DG9</f>
        <v>#N/A</v>
      </c>
      <c r="DJ9" s="131" t="e">
        <f t="shared" ref="DJ9:DJ32" ca="1" si="82" xml:space="preserve"> ACkW * (1+escalation)/(discount-escalation) * (1 - ((1+escalation)/(1+discount))^DG9) * CM9</f>
        <v>#N/A</v>
      </c>
      <c r="DK9" s="131" t="e">
        <f t="shared" ref="DK9:DK32" ca="1" si="83" xml:space="preserve"> ACkW * (1+escalation)/(discount-escalation) * (1 - ((1+escalation)/(1+discount))^DI9) * (1+escalation)^DG9/(1+discount)^DG9 * CQ9</f>
        <v>#N/A</v>
      </c>
      <c r="DL9" s="131" t="e">
        <f t="shared" ref="DL9:DL32" ca="1" si="84" xml:space="preserve"> ACkW * (1+escalation)/(discount-escalation) * (1 - ((1+escalation)/(1+discount))^DG9) * CN9</f>
        <v>#N/A</v>
      </c>
      <c r="DM9" s="131" t="e">
        <f t="shared" ref="DM9:DM32" ca="1" si="85" xml:space="preserve"> ACkW * (1+escalation)/(discount-escalation) * (1 - ((1+escalation)/(1+discount))^DI9) * (1+escalation)^DG9/(1+discount)^DG9 * CR9</f>
        <v>#N/A</v>
      </c>
      <c r="DN9" s="131" t="e">
        <f t="shared" ref="DN9:DN32" ca="1" si="86" xml:space="preserve"> ACkWh * (1+escalation)/(discount-escalation) * (1 - ((1+escalation)/(1+discount))^DG9) * CO9</f>
        <v>#N/A</v>
      </c>
      <c r="DO9" s="131" t="e">
        <f t="shared" ref="DO9:DO32" ca="1" si="87" xml:space="preserve"> ACkWh * (1+escalation)/(discount-escalation) * (1 - ((1+escalation)/(1+discount))^DI9) * (1+escalation)^DG9/(1+discount)^DG9 * CS9</f>
        <v>#N/A</v>
      </c>
      <c r="DP9" s="131" t="e">
        <f ca="1" xml:space="preserve"> ACkWh * (1+escalation)/(discount-escalation) * (1 - ((1+escalation)/(1+discount))^DG9) * CP9</f>
        <v>#N/A</v>
      </c>
      <c r="DQ9" s="131" t="e">
        <f ca="1" xml:space="preserve"> ACkWh * (1+escalation)/(discount-escalation) * (1 - ((1+escalation)/(1+discount))^DI9) * (1+escalation)^DG9/(1+discount)^DG9 * CT9</f>
        <v>#N/A</v>
      </c>
      <c r="DR9" s="131" t="e">
        <f t="shared" ref="DR9:DR32" ca="1" si="88">DJ9+DK9</f>
        <v>#N/A</v>
      </c>
      <c r="DS9" s="131" t="e">
        <f t="shared" ref="DS9:DS32" ca="1" si="89">DL9+DM9</f>
        <v>#N/A</v>
      </c>
      <c r="DT9" s="131" t="e">
        <f t="shared" ref="DT9:DT32" ca="1" si="90">DN9+DO9</f>
        <v>#N/A</v>
      </c>
      <c r="DU9" s="131" t="e">
        <f ca="1">DP9+DQ9</f>
        <v>#N/A</v>
      </c>
      <c r="DV9" s="131" t="e">
        <f t="shared" ref="DV9:DV32" si="91" xml:space="preserve"> ACkW * (1+escalation)/(discount-escalation) * (1 - ((1+escalation)/(1+discount))^DH9)</f>
        <v>#N/A</v>
      </c>
      <c r="DW9"/>
      <c r="DX9" s="131" t="e">
        <f t="shared" ref="DX9:DX32" ca="1" si="92">DR9/DV9</f>
        <v>#N/A</v>
      </c>
      <c r="DY9" s="131" t="e">
        <f t="shared" ref="DY9:DY32" ca="1" si="93">DS9/DV9</f>
        <v>#N/A</v>
      </c>
      <c r="DZ9" s="131" t="e">
        <f t="shared" ref="DZ9:DZ32" ca="1" si="94">DT9/DW9</f>
        <v>#N/A</v>
      </c>
      <c r="EA9" s="131" t="e">
        <f ca="1">DU9/DW9</f>
        <v>#N/A</v>
      </c>
      <c r="EB9" s="250">
        <f t="shared" ca="1" si="64"/>
        <v>0</v>
      </c>
      <c r="EC9" s="131">
        <f t="shared" ca="1" si="65"/>
        <v>0</v>
      </c>
      <c r="ED9" s="131">
        <f t="shared" ca="1" si="66"/>
        <v>0</v>
      </c>
    </row>
    <row r="10" spans="1:135" ht="30" customHeight="1" x14ac:dyDescent="0.25">
      <c r="A10" s="128">
        <v>3</v>
      </c>
      <c r="B10" s="481"/>
      <c r="C10" s="113"/>
      <c r="D10" s="480"/>
      <c r="E10" s="480"/>
      <c r="F10" s="285"/>
      <c r="G10" s="284"/>
      <c r="H10" s="287"/>
      <c r="I10" s="521" t="str">
        <f t="shared" si="1"/>
        <v/>
      </c>
      <c r="J10" s="110"/>
      <c r="K10" s="110"/>
      <c r="L10" s="114"/>
      <c r="M10" s="498"/>
      <c r="N10" s="633"/>
      <c r="O10" s="111"/>
      <c r="P10" s="111"/>
      <c r="Q10" s="110"/>
      <c r="R10" s="288"/>
      <c r="S10" s="494" t="str">
        <f t="shared" si="2"/>
        <v/>
      </c>
      <c r="T10" s="288"/>
      <c r="U10" s="494" t="str">
        <f t="shared" si="3"/>
        <v/>
      </c>
      <c r="V10" s="110"/>
      <c r="W10" s="110"/>
      <c r="X10" s="546" t="str">
        <f t="shared" si="4"/>
        <v/>
      </c>
      <c r="Y10" s="110"/>
      <c r="Z10" s="110"/>
      <c r="AA10" s="112"/>
      <c r="AB10" s="112"/>
      <c r="AC10" s="639" t="str">
        <f t="shared" si="5"/>
        <v/>
      </c>
      <c r="AD10" s="112"/>
      <c r="AE10" s="496" t="str">
        <f t="shared" si="6"/>
        <v/>
      </c>
      <c r="AF10" s="482"/>
      <c r="AG10" s="533"/>
      <c r="AH10" s="534"/>
      <c r="AI10" s="538"/>
      <c r="AJ10" s="409"/>
      <c r="AK10" s="409"/>
      <c r="AL10" s="112"/>
      <c r="AM10" s="679"/>
      <c r="AN10" s="683">
        <f t="shared" si="67"/>
        <v>0</v>
      </c>
      <c r="AO10" s="681">
        <f t="shared" si="68"/>
        <v>0</v>
      </c>
      <c r="AP10" s="223">
        <f t="shared" si="7"/>
        <v>0</v>
      </c>
      <c r="AQ10" s="224">
        <f>IFERROR(IF($AR$3&lt;'Utility Admin'!$I$2,AR10,'Utility Admin'!$I$2/Inventory!$AR$3*AR10),0)</f>
        <v>0</v>
      </c>
      <c r="AR10" s="602">
        <f t="shared" si="8"/>
        <v>0</v>
      </c>
      <c r="AS10" s="604">
        <f t="shared" si="69"/>
        <v>0</v>
      </c>
      <c r="AT10" s="225"/>
      <c r="AU10" s="511" t="str">
        <f t="shared" si="10"/>
        <v/>
      </c>
      <c r="AV10" s="545" t="str">
        <f t="shared" si="11"/>
        <v/>
      </c>
      <c r="AW10" s="129" t="str">
        <f t="shared" si="70"/>
        <v/>
      </c>
      <c r="AX10" s="542" t="str">
        <f t="shared" si="12"/>
        <v/>
      </c>
      <c r="AY10" s="130" t="str">
        <f t="shared" si="71"/>
        <v/>
      </c>
      <c r="AZ10" s="399"/>
      <c r="BA10" s="417">
        <f t="shared" si="13"/>
        <v>0</v>
      </c>
      <c r="BB10" s="131">
        <f t="shared" si="14"/>
        <v>0</v>
      </c>
      <c r="BC10" s="131">
        <f t="shared" si="15"/>
        <v>0</v>
      </c>
      <c r="BD10" s="228" t="str">
        <f t="shared" si="72"/>
        <v/>
      </c>
      <c r="BE10" s="228">
        <f t="shared" si="73"/>
        <v>0</v>
      </c>
      <c r="BF10" s="761" t="str">
        <f>IF('Project Info'!$D$7="TX",INDEX(EFLH!$U$4:$U$31,MATCH(C10,TX_EFLHSanAntonio[Building Type],0),1),'Project Info'!$D$7&amp;"EquipmentType")</f>
        <v>EquipmentType</v>
      </c>
      <c r="BG10" s="229">
        <f t="shared" si="17"/>
        <v>0</v>
      </c>
      <c r="BH10" s="229">
        <f t="shared" si="18"/>
        <v>0</v>
      </c>
      <c r="BI10" s="229">
        <f t="shared" si="19"/>
        <v>0</v>
      </c>
      <c r="BJ10" s="230" t="e">
        <f>HLOOKUP(BI10,'Equipment Lookups'!$L$4:$AE$55,VLOOKUP(Inventory!BL10,'Equipment Lookups'!$J$5:$K$55,2,FALSE),TRUE)</f>
        <v>#N/A</v>
      </c>
      <c r="BK10" s="231" t="str" cm="1">
        <f t="array" ref="BK10">IF(L10="","",MAX(IF(L10="Unknown",ProgramYear-INDEX('Equipment Lookups'!$AF$5:$AF$38,MATCH(Inventory!BL10,'Equipment Lookups'!$J$5:$J$38,0)),_xlfn.NUMBERVALUE(RIGHT(L10,4))),INDEX(BaselineRow,1)))</f>
        <v/>
      </c>
      <c r="BL10" s="232" t="str">
        <f t="shared" si="74"/>
        <v/>
      </c>
      <c r="BM10" s="232" t="e">
        <f t="shared" si="20"/>
        <v>#N/A</v>
      </c>
      <c r="BN10" s="229">
        <f t="shared" ref="BN10:BN32" si="95">IF(S10="tons",R10,IF(S10="Btuh",R10/12000,0))</f>
        <v>0</v>
      </c>
      <c r="BO10" s="229">
        <f>IF(BG10=0, BN10*AF10, IF(BG10&gt;=BN10, IF(AF10="", "", BN10*AF10), IF(AF10="", "", BG10*AF10)))</f>
        <v>0</v>
      </c>
      <c r="BP10" s="229">
        <f t="shared" ref="BP10:BP32" si="96">BN10*12000</f>
        <v>0</v>
      </c>
      <c r="BQ10" s="229">
        <f t="shared" si="75"/>
        <v>0</v>
      </c>
      <c r="BR10" s="229" t="e">
        <f>HLOOKUP(BP10,'Equipment Lookups'!$L$4:$AE$55,VLOOKUP(Inventory!BS10,'Equipment Lookups'!$J$5:$K$55,2,FALSE),TRUE)</f>
        <v>#N/A</v>
      </c>
      <c r="BS10" s="232" t="str">
        <f t="shared" si="76"/>
        <v/>
      </c>
      <c r="BT10" s="232" t="e">
        <f t="shared" si="22"/>
        <v>#N/A</v>
      </c>
      <c r="BU10" s="230" t="e">
        <f>INDEX('Equipment Lookups'!$AG$5:$AG$55,MATCH(Inventory!BS10,'Equipment Lookups'!$J$5:$J$55,0))</f>
        <v>#N/A</v>
      </c>
      <c r="BV10" s="568" t="str">
        <f ca="1">IFERROR(IF(AL10&lt;&gt;"",AL10,IF(State="TX",INDEX(TX_EFLHSanAntonio[[CFAir Cooled Chiller]:[CFPTRoom]],MATCH(Inventory!C10,TX_EFLHSanAntonio[Building Type],0),MATCH(BU10,EFLH!$G$2:$J$2,0)),VLOOKUP(C10,INDIRECT($BY$5),4,FALSE))),"-")</f>
        <v>-</v>
      </c>
      <c r="BW10" s="580" t="str">
        <f ca="1">IFERROR(IF(AJ10&lt;&gt;"",AJ10,IF(State="TX",INDEX(TX_EFLHSanAntonio[[EFLHcAir Cooled Chiller]:[EFLHcPTRoom]],MATCH(Inventory!C10,TX_EFLHSanAntonio[Building Type],0),MATCH(BU10,EFLH!$O$2:$R$2,0)),VLOOKUP(C10,INDIRECT($BY$5),2,FALSE))),"-")</f>
        <v>-</v>
      </c>
      <c r="BX10" s="581" t="str">
        <f ca="1">IFERROR(IF(AK10&lt;&gt;"",AK10,IF(State="TX",INDEX(TX_EFLHSanAntonio[[EFLHhDX]:[EFLHhPTRoom]],MATCH(Inventory!C10,TX_EFLHSanAntonio[Building Type],0),MATCH(BU10,EFLH!$S$2:$T$2,0)),VLOOKUP(C10,INDIRECT($BY$5),3,FALSE))),"-")</f>
        <v>-</v>
      </c>
      <c r="BY10" s="565">
        <f>IF(AM10&lt;&gt;"",AM10,IF(State="TX",INDEX(TX_EFLHSanAntonio[[NCPAir Cooled Chiller]:[NCPPTRoom]],MATCH(Inventory!C10,TX_EFLHSanAntonio[Building Type],0),MATCH(BU10,EFLH!$K$2:$N$2,0)),0))</f>
        <v>0</v>
      </c>
      <c r="BZ10" s="598" t="e">
        <f t="shared" ca="1" si="23"/>
        <v>#N/A</v>
      </c>
      <c r="CA10" s="599" t="e">
        <f t="shared" ca="1" si="24"/>
        <v>#N/A</v>
      </c>
      <c r="CB10" s="599" t="str">
        <f t="shared" ca="1" si="25"/>
        <v/>
      </c>
      <c r="CC10" s="599" t="e">
        <f t="shared" ca="1" si="26"/>
        <v>#N/A</v>
      </c>
      <c r="CD10" s="599" t="e">
        <f t="shared" ca="1" si="27"/>
        <v>#N/A</v>
      </c>
      <c r="CE10" s="599" t="str">
        <f t="shared" ca="1" si="28"/>
        <v/>
      </c>
      <c r="CF10" s="599" t="b">
        <f t="shared" si="29"/>
        <v>0</v>
      </c>
      <c r="CG10" s="599" t="e">
        <f t="shared" ca="1" si="30"/>
        <v>#N/A</v>
      </c>
      <c r="CH10" s="599" t="e">
        <f t="shared" ca="1" si="31"/>
        <v>#N/A</v>
      </c>
      <c r="CI10" s="599" t="str">
        <f t="shared" ca="1" si="32"/>
        <v/>
      </c>
      <c r="CJ10" s="599" t="str">
        <f t="shared" si="33"/>
        <v/>
      </c>
      <c r="CK10" s="599" t="str">
        <f t="shared" si="34"/>
        <v/>
      </c>
      <c r="CL10" s="600" t="str">
        <f t="shared" si="35"/>
        <v/>
      </c>
      <c r="CM10" s="228" t="e">
        <f t="shared" ca="1" si="36"/>
        <v>#N/A</v>
      </c>
      <c r="CN10" s="228" t="e">
        <f t="shared" ca="1" si="37"/>
        <v>#N/A</v>
      </c>
      <c r="CO10" s="232" t="e">
        <f t="shared" ca="1" si="38"/>
        <v>#N/A</v>
      </c>
      <c r="CP10" s="232">
        <f t="shared" ca="1" si="39"/>
        <v>0</v>
      </c>
      <c r="CQ10" s="228" t="e">
        <f t="shared" ca="1" si="40"/>
        <v>#N/A</v>
      </c>
      <c r="CR10" s="228" t="e">
        <f t="shared" ca="1" si="41"/>
        <v>#N/A</v>
      </c>
      <c r="CS10" s="232" t="e">
        <f t="shared" ca="1" si="42"/>
        <v>#N/A</v>
      </c>
      <c r="CT10" s="232" t="e">
        <f t="shared" ca="1" si="43"/>
        <v>#VALUE!</v>
      </c>
      <c r="CU10" s="228" t="e">
        <f t="shared" ca="1" si="44"/>
        <v>#N/A</v>
      </c>
      <c r="CV10" s="228" t="e">
        <f t="shared" ca="1" si="45"/>
        <v>#N/A</v>
      </c>
      <c r="CW10" s="232" t="e">
        <f t="shared" ca="1" si="46"/>
        <v>#N/A</v>
      </c>
      <c r="CX10" s="237" t="e">
        <f t="shared" ca="1" si="47"/>
        <v>#VALUE!</v>
      </c>
      <c r="CY10" s="233">
        <f t="shared" si="77"/>
        <v>0</v>
      </c>
      <c r="CZ10" s="233">
        <f t="shared" si="78"/>
        <v>0</v>
      </c>
      <c r="DA10" s="246">
        <f t="shared" si="79"/>
        <v>0</v>
      </c>
      <c r="DB10" s="246">
        <f t="shared" si="80"/>
        <v>0</v>
      </c>
      <c r="DC10" s="562" t="e">
        <f>INDEX('Utility Admin'!$P$2:$AD$2,1,MATCH($Q10,'Utility Admin'!$P$3:$AD$3,0))</f>
        <v>#N/A</v>
      </c>
      <c r="DD10" s="131" t="e">
        <f>INDEX('Utility Admin'!AE$2:AS$2,1,MATCH($Q10,'Utility Admin'!$P$3:$AD$3,0))</f>
        <v>#N/A</v>
      </c>
      <c r="DE10" s="239" t="e">
        <f>IF(kWhOverride="",INDEX('Utility Admin'!$AT$2:$BH$2,1,MATCH($Q10,'Utility Admin'!$P$3:$AD$3,0)),kWhOverride)</f>
        <v>#N/A</v>
      </c>
      <c r="DF10" s="230" t="str" cm="1">
        <f t="array" ref="DF10">IF(B10="New Construction","",IF(L10="","",MAX(ProgramYear-BK10,1,)))</f>
        <v/>
      </c>
      <c r="DG10" s="234" t="e">
        <f>INDEX('Equipment Lookups'!$AI$5:$BV$55,MATCH(Inventory!BL10,'Equipment Lookups'!$J$5:$J$55,0),MATCH(Inventory!DF10,'Equipment Lookups'!$AI$4:$BV$4,0))</f>
        <v>#N/A</v>
      </c>
      <c r="DH10" s="230" t="e">
        <f>INDEX('Equipment Lookups'!$AH$5:$AH$55,MATCH(Inventory!BS10,'Equipment Lookups'!$J$5:$J$55,0))</f>
        <v>#N/A</v>
      </c>
      <c r="DI10" s="131" t="e">
        <f t="shared" si="81"/>
        <v>#N/A</v>
      </c>
      <c r="DJ10" s="131" t="e">
        <f t="shared" ca="1" si="82"/>
        <v>#N/A</v>
      </c>
      <c r="DK10" s="131" t="e">
        <f t="shared" ca="1" si="83"/>
        <v>#N/A</v>
      </c>
      <c r="DL10" s="131" t="e">
        <f t="shared" ca="1" si="84"/>
        <v>#N/A</v>
      </c>
      <c r="DM10" s="131" t="e">
        <f t="shared" ca="1" si="85"/>
        <v>#N/A</v>
      </c>
      <c r="DN10" s="131" t="e">
        <f t="shared" ca="1" si="86"/>
        <v>#N/A</v>
      </c>
      <c r="DO10" s="131" t="e">
        <f t="shared" ca="1" si="87"/>
        <v>#N/A</v>
      </c>
      <c r="DP10" s="131" t="e">
        <f t="shared" ref="DP10:DP32" ca="1" si="97" xml:space="preserve"> ACkWh * (1+escalation)/(discount-escalation) * (1 - ((1+escalation)/(1+discount))^DG10) * CP10</f>
        <v>#N/A</v>
      </c>
      <c r="DQ10" s="131" t="e">
        <f t="shared" ref="DQ10:DQ32" ca="1" si="98" xml:space="preserve"> ACkWh * (1+escalation)/(discount-escalation) * (1 - ((1+escalation)/(1+discount))^DI10) * (1+escalation)^DG10/(1+discount)^DG10 * CT10</f>
        <v>#N/A</v>
      </c>
      <c r="DR10" s="131" t="e">
        <f t="shared" ca="1" si="88"/>
        <v>#N/A</v>
      </c>
      <c r="DS10" s="131" t="e">
        <f t="shared" ca="1" si="89"/>
        <v>#N/A</v>
      </c>
      <c r="DT10" s="131" t="e">
        <f t="shared" ca="1" si="90"/>
        <v>#N/A</v>
      </c>
      <c r="DU10" s="131" t="e">
        <f t="shared" ref="DU10:DU32" ca="1" si="99">DP10+DQ10</f>
        <v>#N/A</v>
      </c>
      <c r="DV10" s="131" t="e">
        <f t="shared" si="91"/>
        <v>#N/A</v>
      </c>
      <c r="DW10" s="131" t="e">
        <f t="shared" ref="DW10:DW32" si="100" xml:space="preserve"> ACkWh * (1+escalation)/(discount-escalation) * (1 - ((1+escalation)/(1+discount))^DH10)</f>
        <v>#N/A</v>
      </c>
      <c r="DX10" s="131" t="e">
        <f t="shared" ca="1" si="92"/>
        <v>#N/A</v>
      </c>
      <c r="DY10" s="131" t="e">
        <f t="shared" ca="1" si="93"/>
        <v>#N/A</v>
      </c>
      <c r="DZ10" s="131" t="e">
        <f t="shared" ca="1" si="94"/>
        <v>#N/A</v>
      </c>
      <c r="EA10" s="131" t="e">
        <f t="shared" ref="EA10:EA32" ca="1" si="101">DU10/DW10</f>
        <v>#N/A</v>
      </c>
      <c r="EB10" s="250">
        <f t="shared" ca="1" si="64"/>
        <v>0</v>
      </c>
      <c r="EC10" s="131">
        <f t="shared" ca="1" si="65"/>
        <v>0</v>
      </c>
      <c r="ED10" s="131">
        <f t="shared" ca="1" si="66"/>
        <v>0</v>
      </c>
    </row>
    <row r="11" spans="1:135" ht="30" customHeight="1" x14ac:dyDescent="0.25">
      <c r="A11" s="132">
        <v>4</v>
      </c>
      <c r="B11" s="501"/>
      <c r="C11" s="113"/>
      <c r="D11" s="480"/>
      <c r="E11" s="480"/>
      <c r="F11" s="285"/>
      <c r="G11" s="284"/>
      <c r="H11" s="287"/>
      <c r="I11" s="521" t="str">
        <f t="shared" si="1"/>
        <v/>
      </c>
      <c r="J11" s="110"/>
      <c r="K11" s="110"/>
      <c r="L11" s="114"/>
      <c r="M11" s="498"/>
      <c r="N11" s="633"/>
      <c r="O11" s="111"/>
      <c r="P11" s="111"/>
      <c r="Q11" s="110"/>
      <c r="R11" s="288"/>
      <c r="S11" s="494" t="str">
        <f t="shared" si="2"/>
        <v/>
      </c>
      <c r="T11" s="288"/>
      <c r="U11" s="494" t="str">
        <f t="shared" si="3"/>
        <v/>
      </c>
      <c r="V11" s="110"/>
      <c r="W11" s="110"/>
      <c r="X11" s="546" t="str">
        <f t="shared" si="4"/>
        <v/>
      </c>
      <c r="Y11" s="110"/>
      <c r="Z11" s="110"/>
      <c r="AA11" s="112"/>
      <c r="AB11" s="112"/>
      <c r="AC11" s="639" t="str">
        <f t="shared" si="5"/>
        <v/>
      </c>
      <c r="AD11" s="112"/>
      <c r="AE11" s="496" t="str">
        <f t="shared" si="6"/>
        <v/>
      </c>
      <c r="AF11" s="482"/>
      <c r="AG11" s="533"/>
      <c r="AH11" s="534"/>
      <c r="AI11" s="538"/>
      <c r="AJ11" s="409"/>
      <c r="AK11" s="409"/>
      <c r="AL11" s="112"/>
      <c r="AM11" s="679"/>
      <c r="AN11" s="683">
        <f t="shared" si="67"/>
        <v>0</v>
      </c>
      <c r="AO11" s="681">
        <f t="shared" si="68"/>
        <v>0</v>
      </c>
      <c r="AP11" s="223">
        <f t="shared" si="7"/>
        <v>0</v>
      </c>
      <c r="AQ11" s="224">
        <f>IFERROR(IF($AR$3&lt;'Utility Admin'!$I$2,AR11,'Utility Admin'!$I$2/Inventory!$AR$3*AR11),0)</f>
        <v>0</v>
      </c>
      <c r="AR11" s="602">
        <f t="shared" si="8"/>
        <v>0</v>
      </c>
      <c r="AS11" s="604">
        <f t="shared" si="69"/>
        <v>0</v>
      </c>
      <c r="AT11" s="225"/>
      <c r="AU11" s="511" t="str">
        <f t="shared" si="10"/>
        <v/>
      </c>
      <c r="AV11" s="545" t="str">
        <f t="shared" si="11"/>
        <v/>
      </c>
      <c r="AW11" s="129" t="str">
        <f t="shared" si="70"/>
        <v/>
      </c>
      <c r="AX11" s="542" t="str">
        <f t="shared" si="12"/>
        <v/>
      </c>
      <c r="AY11" s="130" t="str">
        <f t="shared" si="71"/>
        <v/>
      </c>
      <c r="AZ11" s="399"/>
      <c r="BA11" s="417">
        <f t="shared" si="13"/>
        <v>0</v>
      </c>
      <c r="BB11" s="131">
        <f t="shared" si="14"/>
        <v>0</v>
      </c>
      <c r="BC11" s="131">
        <f t="shared" si="15"/>
        <v>0</v>
      </c>
      <c r="BD11" s="228" t="str">
        <f t="shared" si="72"/>
        <v/>
      </c>
      <c r="BE11" s="228">
        <f t="shared" si="73"/>
        <v>0</v>
      </c>
      <c r="BF11" s="761" t="str">
        <f>IF('Project Info'!$D$7="TX",INDEX(EFLH!$U$4:$U$31,MATCH(C11,TX_EFLHSanAntonio[Building Type],0),1),'Project Info'!$D$7&amp;"EquipmentType")</f>
        <v>EquipmentType</v>
      </c>
      <c r="BG11" s="229">
        <f t="shared" si="17"/>
        <v>0</v>
      </c>
      <c r="BH11" s="229">
        <f t="shared" si="18"/>
        <v>0</v>
      </c>
      <c r="BI11" s="229">
        <f t="shared" si="19"/>
        <v>0</v>
      </c>
      <c r="BJ11" s="230" t="e">
        <f>HLOOKUP(BI11,'Equipment Lookups'!$L$4:$AE$55,VLOOKUP(Inventory!BL11,'Equipment Lookups'!$J$5:$K$55,2,FALSE),TRUE)</f>
        <v>#N/A</v>
      </c>
      <c r="BK11" s="231" t="str" cm="1">
        <f t="array" ref="BK11">IF(L11="","",MAX(IF(L11="Unknown",ProgramYear-INDEX('Equipment Lookups'!$AF$5:$AF$38,MATCH(Inventory!BL11,'Equipment Lookups'!$J$5:$J$38,0)),_xlfn.NUMBERVALUE(RIGHT(L11,4))),INDEX(BaselineRow,1)))</f>
        <v/>
      </c>
      <c r="BL11" s="232" t="str">
        <f t="shared" si="74"/>
        <v/>
      </c>
      <c r="BM11" s="232" t="e">
        <f t="shared" si="20"/>
        <v>#N/A</v>
      </c>
      <c r="BN11" s="229">
        <f t="shared" si="95"/>
        <v>0</v>
      </c>
      <c r="BO11" s="229">
        <f t="shared" ref="BO11:BO32" si="102">IF(BG11=0, BN11*AF11, IF(BG11&gt;=BN11, IF(AF11="", "", BN11*AF11), IF(AF11="", "", BG11*AF11)))</f>
        <v>0</v>
      </c>
      <c r="BP11" s="229">
        <f t="shared" si="96"/>
        <v>0</v>
      </c>
      <c r="BQ11" s="229">
        <f t="shared" si="75"/>
        <v>0</v>
      </c>
      <c r="BR11" s="229" t="e">
        <f>HLOOKUP(BP11,'Equipment Lookups'!$L$4:$AE$55,VLOOKUP(Inventory!BS11,'Equipment Lookups'!$J$5:$K$55,2,FALSE),TRUE)</f>
        <v>#N/A</v>
      </c>
      <c r="BS11" s="232" t="str">
        <f t="shared" si="76"/>
        <v/>
      </c>
      <c r="BT11" s="232" t="e">
        <f t="shared" si="22"/>
        <v>#N/A</v>
      </c>
      <c r="BU11" s="230" t="e">
        <f>INDEX('Equipment Lookups'!$AG$5:$AG$55,MATCH(Inventory!BS11,'Equipment Lookups'!$J$5:$J$55,0))</f>
        <v>#N/A</v>
      </c>
      <c r="BV11" s="568" t="str">
        <f ca="1">IFERROR(IF(AL11&lt;&gt;"",AL11,IF(State="TX",INDEX(TX_EFLHSanAntonio[[CFAir Cooled Chiller]:[CFPTRoom]],MATCH(Inventory!C11,TX_EFLHSanAntonio[Building Type],0),MATCH(BU11,EFLH!$G$2:$J$2,0)),VLOOKUP(C11,INDIRECT($BY$5),4,FALSE))),"-")</f>
        <v>-</v>
      </c>
      <c r="BW11" s="580" t="str">
        <f ca="1">IFERROR(IF(AJ11&lt;&gt;"",AJ11,IF(State="TX",INDEX(TX_EFLHSanAntonio[[EFLHcAir Cooled Chiller]:[EFLHcPTRoom]],MATCH(Inventory!C11,TX_EFLHSanAntonio[Building Type],0),MATCH(BU11,EFLH!$O$2:$R$2,0)),VLOOKUP(C11,INDIRECT($BY$5),2,FALSE))),"-")</f>
        <v>-</v>
      </c>
      <c r="BX11" s="581" t="str">
        <f ca="1">IFERROR(IF(AK11&lt;&gt;"",AK11,IF(State="TX",INDEX(TX_EFLHSanAntonio[[EFLHhDX]:[EFLHhPTRoom]],MATCH(Inventory!C11,TX_EFLHSanAntonio[Building Type],0),MATCH(BU11,EFLH!$S$2:$T$2,0)),VLOOKUP(C11,INDIRECT($BY$5),3,FALSE))),"-")</f>
        <v>-</v>
      </c>
      <c r="BY11" s="565">
        <f>IF(AM11&lt;&gt;"",AM11,IF(State="TX",INDEX(TX_EFLHSanAntonio[[NCPAir Cooled Chiller]:[NCPPTRoom]],MATCH(Inventory!C11,TX_EFLHSanAntonio[Building Type],0),MATCH(BU11,EFLH!$K$2:$N$2,0)),0))</f>
        <v>0</v>
      </c>
      <c r="BZ11" s="598" t="e">
        <f t="shared" ca="1" si="23"/>
        <v>#N/A</v>
      </c>
      <c r="CA11" s="599" t="e">
        <f t="shared" ca="1" si="24"/>
        <v>#N/A</v>
      </c>
      <c r="CB11" s="599" t="str">
        <f t="shared" ca="1" si="25"/>
        <v/>
      </c>
      <c r="CC11" s="599" t="e">
        <f t="shared" ca="1" si="26"/>
        <v>#N/A</v>
      </c>
      <c r="CD11" s="599" t="e">
        <f t="shared" ca="1" si="27"/>
        <v>#N/A</v>
      </c>
      <c r="CE11" s="599" t="str">
        <f t="shared" ca="1" si="28"/>
        <v/>
      </c>
      <c r="CF11" s="599" t="b">
        <f t="shared" si="29"/>
        <v>0</v>
      </c>
      <c r="CG11" s="599" t="e">
        <f t="shared" ca="1" si="30"/>
        <v>#N/A</v>
      </c>
      <c r="CH11" s="599" t="e">
        <f t="shared" ca="1" si="31"/>
        <v>#N/A</v>
      </c>
      <c r="CI11" s="599" t="str">
        <f t="shared" ca="1" si="32"/>
        <v/>
      </c>
      <c r="CJ11" s="599" t="str">
        <f t="shared" si="33"/>
        <v/>
      </c>
      <c r="CK11" s="599" t="str">
        <f t="shared" si="34"/>
        <v/>
      </c>
      <c r="CL11" s="600" t="str">
        <f t="shared" si="35"/>
        <v/>
      </c>
      <c r="CM11" s="228" t="e">
        <f t="shared" ca="1" si="36"/>
        <v>#N/A</v>
      </c>
      <c r="CN11" s="228" t="e">
        <f t="shared" ca="1" si="37"/>
        <v>#N/A</v>
      </c>
      <c r="CO11" s="232" t="e">
        <f t="shared" ca="1" si="38"/>
        <v>#N/A</v>
      </c>
      <c r="CP11" s="232">
        <f t="shared" ca="1" si="39"/>
        <v>0</v>
      </c>
      <c r="CQ11" s="228" t="e">
        <f t="shared" ca="1" si="40"/>
        <v>#N/A</v>
      </c>
      <c r="CR11" s="228" t="e">
        <f t="shared" ca="1" si="41"/>
        <v>#N/A</v>
      </c>
      <c r="CS11" s="232" t="e">
        <f t="shared" ca="1" si="42"/>
        <v>#N/A</v>
      </c>
      <c r="CT11" s="232" t="e">
        <f t="shared" ca="1" si="43"/>
        <v>#VALUE!</v>
      </c>
      <c r="CU11" s="228" t="e">
        <f t="shared" ca="1" si="44"/>
        <v>#N/A</v>
      </c>
      <c r="CV11" s="228" t="e">
        <f t="shared" ca="1" si="45"/>
        <v>#N/A</v>
      </c>
      <c r="CW11" s="232" t="e">
        <f t="shared" ca="1" si="46"/>
        <v>#N/A</v>
      </c>
      <c r="CX11" s="237" t="e">
        <f t="shared" ca="1" si="47"/>
        <v>#VALUE!</v>
      </c>
      <c r="CY11" s="233">
        <f t="shared" si="77"/>
        <v>0</v>
      </c>
      <c r="CZ11" s="233">
        <f t="shared" si="78"/>
        <v>0</v>
      </c>
      <c r="DA11" s="246">
        <f t="shared" si="79"/>
        <v>0</v>
      </c>
      <c r="DB11" s="246">
        <f t="shared" si="80"/>
        <v>0</v>
      </c>
      <c r="DC11" s="562" t="e">
        <f>INDEX('Utility Admin'!$P$2:$AD$2,1,MATCH($Q11,'Utility Admin'!$P$3:$AD$3,0))</f>
        <v>#N/A</v>
      </c>
      <c r="DD11" s="131" t="e">
        <f>INDEX('Utility Admin'!AE$2:AS$2,1,MATCH($Q11,'Utility Admin'!$P$3:$AD$3,0))</f>
        <v>#N/A</v>
      </c>
      <c r="DE11" s="239" t="e">
        <f>IF(kWhOverride="",INDEX('Utility Admin'!$AT$2:$BH$2,1,MATCH($Q11,'Utility Admin'!$P$3:$AD$3,0)),kWhOverride)</f>
        <v>#N/A</v>
      </c>
      <c r="DF11" s="230" t="str" cm="1">
        <f t="array" ref="DF11">IF(B11="New Construction","",IF(L11="","",MAX(ProgramYear-BK11,1,)))</f>
        <v/>
      </c>
      <c r="DG11" s="234" t="e">
        <f>INDEX('Equipment Lookups'!$AI$5:$BV$55,MATCH(Inventory!BL11,'Equipment Lookups'!$J$5:$J$55,0),MATCH(Inventory!DF11,'Equipment Lookups'!$AI$4:$BV$4,0))</f>
        <v>#N/A</v>
      </c>
      <c r="DH11" s="230" t="e">
        <f>INDEX('Equipment Lookups'!$AH$5:$AH$55,MATCH(Inventory!BS11,'Equipment Lookups'!$J$5:$J$55,0))</f>
        <v>#N/A</v>
      </c>
      <c r="DI11" s="131" t="e">
        <f t="shared" si="81"/>
        <v>#N/A</v>
      </c>
      <c r="DJ11" s="131" t="e">
        <f t="shared" ca="1" si="82"/>
        <v>#N/A</v>
      </c>
      <c r="DK11" s="131" t="e">
        <f t="shared" ca="1" si="83"/>
        <v>#N/A</v>
      </c>
      <c r="DL11" s="131" t="e">
        <f t="shared" ca="1" si="84"/>
        <v>#N/A</v>
      </c>
      <c r="DM11" s="131" t="e">
        <f t="shared" ca="1" si="85"/>
        <v>#N/A</v>
      </c>
      <c r="DN11" s="131" t="e">
        <f t="shared" ca="1" si="86"/>
        <v>#N/A</v>
      </c>
      <c r="DO11" s="131" t="e">
        <f t="shared" ca="1" si="87"/>
        <v>#N/A</v>
      </c>
      <c r="DP11" s="131" t="e">
        <f t="shared" ca="1" si="97"/>
        <v>#N/A</v>
      </c>
      <c r="DQ11" s="131" t="e">
        <f t="shared" ca="1" si="98"/>
        <v>#N/A</v>
      </c>
      <c r="DR11" s="131" t="e">
        <f t="shared" ca="1" si="88"/>
        <v>#N/A</v>
      </c>
      <c r="DS11" s="131" t="e">
        <f t="shared" ca="1" si="89"/>
        <v>#N/A</v>
      </c>
      <c r="DT11" s="131" t="e">
        <f t="shared" ca="1" si="90"/>
        <v>#N/A</v>
      </c>
      <c r="DU11" s="131" t="e">
        <f t="shared" ca="1" si="99"/>
        <v>#N/A</v>
      </c>
      <c r="DV11" s="131" t="e">
        <f t="shared" si="91"/>
        <v>#N/A</v>
      </c>
      <c r="DW11" s="131" t="e">
        <f t="shared" si="100"/>
        <v>#N/A</v>
      </c>
      <c r="DX11" s="131" t="e">
        <f t="shared" ca="1" si="92"/>
        <v>#N/A</v>
      </c>
      <c r="DY11" s="131" t="e">
        <f t="shared" ca="1" si="93"/>
        <v>#N/A</v>
      </c>
      <c r="DZ11" s="131" t="e">
        <f t="shared" ca="1" si="94"/>
        <v>#N/A</v>
      </c>
      <c r="EA11" s="131" t="e">
        <f t="shared" ca="1" si="101"/>
        <v>#N/A</v>
      </c>
      <c r="EB11" s="250">
        <f t="shared" ca="1" si="64"/>
        <v>0</v>
      </c>
      <c r="EC11" s="131">
        <f t="shared" ca="1" si="65"/>
        <v>0</v>
      </c>
      <c r="ED11" s="131">
        <f t="shared" ca="1" si="66"/>
        <v>0</v>
      </c>
    </row>
    <row r="12" spans="1:135" ht="30" customHeight="1" x14ac:dyDescent="0.25">
      <c r="A12" s="128">
        <v>5</v>
      </c>
      <c r="B12" s="481"/>
      <c r="C12" s="113"/>
      <c r="D12" s="480"/>
      <c r="E12" s="480"/>
      <c r="F12" s="285"/>
      <c r="G12" s="284"/>
      <c r="H12" s="287"/>
      <c r="I12" s="521" t="str">
        <f t="shared" si="1"/>
        <v/>
      </c>
      <c r="J12" s="110"/>
      <c r="K12" s="110"/>
      <c r="L12" s="114"/>
      <c r="M12" s="498"/>
      <c r="N12" s="633"/>
      <c r="O12" s="111"/>
      <c r="P12" s="111"/>
      <c r="Q12" s="110"/>
      <c r="R12" s="288"/>
      <c r="S12" s="494" t="str">
        <f t="shared" si="2"/>
        <v/>
      </c>
      <c r="T12" s="288"/>
      <c r="U12" s="494" t="str">
        <f t="shared" si="3"/>
        <v/>
      </c>
      <c r="V12" s="110"/>
      <c r="W12" s="110"/>
      <c r="X12" s="546" t="str">
        <f t="shared" si="4"/>
        <v/>
      </c>
      <c r="Y12" s="110"/>
      <c r="Z12" s="110"/>
      <c r="AA12" s="112"/>
      <c r="AB12" s="112"/>
      <c r="AC12" s="639" t="str">
        <f t="shared" si="5"/>
        <v/>
      </c>
      <c r="AD12" s="112"/>
      <c r="AE12" s="496" t="str">
        <f t="shared" si="6"/>
        <v/>
      </c>
      <c r="AF12" s="482"/>
      <c r="AG12" s="533"/>
      <c r="AH12" s="534"/>
      <c r="AI12" s="538"/>
      <c r="AJ12" s="409"/>
      <c r="AK12" s="409"/>
      <c r="AL12" s="112"/>
      <c r="AM12" s="679"/>
      <c r="AN12" s="683">
        <f t="shared" si="67"/>
        <v>0</v>
      </c>
      <c r="AO12" s="681">
        <f t="shared" si="68"/>
        <v>0</v>
      </c>
      <c r="AP12" s="223">
        <f t="shared" si="7"/>
        <v>0</v>
      </c>
      <c r="AQ12" s="224">
        <f>IFERROR(IF($AR$3&lt;'Utility Admin'!$I$2,AR12,'Utility Admin'!$I$2/Inventory!$AR$3*AR12),0)</f>
        <v>0</v>
      </c>
      <c r="AR12" s="602">
        <f t="shared" si="8"/>
        <v>0</v>
      </c>
      <c r="AS12" s="604">
        <f t="shared" si="69"/>
        <v>0</v>
      </c>
      <c r="AT12" s="225"/>
      <c r="AU12" s="511" t="str">
        <f t="shared" si="10"/>
        <v/>
      </c>
      <c r="AV12" s="545" t="str">
        <f t="shared" si="11"/>
        <v/>
      </c>
      <c r="AW12" s="129" t="str">
        <f t="shared" si="70"/>
        <v/>
      </c>
      <c r="AX12" s="542" t="str">
        <f t="shared" si="12"/>
        <v/>
      </c>
      <c r="AY12" s="130" t="str">
        <f t="shared" si="71"/>
        <v/>
      </c>
      <c r="AZ12" s="399"/>
      <c r="BA12" s="417">
        <f t="shared" si="13"/>
        <v>0</v>
      </c>
      <c r="BB12" s="131">
        <f t="shared" si="14"/>
        <v>0</v>
      </c>
      <c r="BC12" s="131">
        <f t="shared" si="15"/>
        <v>0</v>
      </c>
      <c r="BD12" s="228" t="str">
        <f t="shared" si="72"/>
        <v/>
      </c>
      <c r="BE12" s="228">
        <f t="shared" si="73"/>
        <v>0</v>
      </c>
      <c r="BF12" s="761" t="str">
        <f>IF('Project Info'!$D$7="TX",INDEX(EFLH!$U$4:$U$31,MATCH(C12,TX_EFLHSanAntonio[Building Type],0),1),'Project Info'!$D$7&amp;"EquipmentType")</f>
        <v>EquipmentType</v>
      </c>
      <c r="BG12" s="229">
        <f t="shared" si="17"/>
        <v>0</v>
      </c>
      <c r="BH12" s="229">
        <f t="shared" si="18"/>
        <v>0</v>
      </c>
      <c r="BI12" s="229">
        <f t="shared" si="19"/>
        <v>0</v>
      </c>
      <c r="BJ12" s="230" t="e">
        <f>HLOOKUP(BI12,'Equipment Lookups'!$L$4:$AE$55,VLOOKUP(Inventory!BL12,'Equipment Lookups'!$J$5:$K$55,2,FALSE),TRUE)</f>
        <v>#N/A</v>
      </c>
      <c r="BK12" s="231" t="str" cm="1">
        <f t="array" ref="BK12">IF(L12="","",MAX(IF(L12="Unknown",ProgramYear-INDEX('Equipment Lookups'!$AF$5:$AF$38,MATCH(Inventory!BL12,'Equipment Lookups'!$J$5:$J$38,0)),_xlfn.NUMBERVALUE(RIGHT(L12,4))),INDEX(BaselineRow,1)))</f>
        <v/>
      </c>
      <c r="BL12" s="232" t="str">
        <f t="shared" si="74"/>
        <v/>
      </c>
      <c r="BM12" s="232" t="e">
        <f t="shared" si="20"/>
        <v>#N/A</v>
      </c>
      <c r="BN12" s="229">
        <f t="shared" si="95"/>
        <v>0</v>
      </c>
      <c r="BO12" s="229">
        <f t="shared" si="102"/>
        <v>0</v>
      </c>
      <c r="BP12" s="229">
        <f t="shared" si="96"/>
        <v>0</v>
      </c>
      <c r="BQ12" s="229">
        <f t="shared" si="75"/>
        <v>0</v>
      </c>
      <c r="BR12" s="229" t="e">
        <f>HLOOKUP(BP12,'Equipment Lookups'!$L$4:$AE$55,VLOOKUP(Inventory!BS12,'Equipment Lookups'!$J$5:$K$55,2,FALSE),TRUE)</f>
        <v>#N/A</v>
      </c>
      <c r="BS12" s="232" t="str">
        <f t="shared" si="76"/>
        <v/>
      </c>
      <c r="BT12" s="232" t="e">
        <f t="shared" si="22"/>
        <v>#N/A</v>
      </c>
      <c r="BU12" s="230" t="e">
        <f>INDEX('Equipment Lookups'!$AG$5:$AG$55,MATCH(Inventory!BS12,'Equipment Lookups'!$J$5:$J$55,0))</f>
        <v>#N/A</v>
      </c>
      <c r="BV12" s="568" t="str">
        <f ca="1">IFERROR(IF(AL12&lt;&gt;"",AL12,IF(State="TX",INDEX(TX_EFLHSanAntonio[[CFAir Cooled Chiller]:[CFPTRoom]],MATCH(Inventory!C12,TX_EFLHSanAntonio[Building Type],0),MATCH(BU12,EFLH!$G$2:$J$2,0)),VLOOKUP(C12,INDIRECT($BY$5),4,FALSE))),"-")</f>
        <v>-</v>
      </c>
      <c r="BW12" s="580" t="str">
        <f ca="1">IFERROR(IF(AJ12&lt;&gt;"",AJ12,IF(State="TX",INDEX(TX_EFLHSanAntonio[[EFLHcAir Cooled Chiller]:[EFLHcPTRoom]],MATCH(Inventory!C12,TX_EFLHSanAntonio[Building Type],0),MATCH(BU12,EFLH!$O$2:$R$2,0)),VLOOKUP(C12,INDIRECT($BY$5),2,FALSE))),"-")</f>
        <v>-</v>
      </c>
      <c r="BX12" s="581" t="str">
        <f ca="1">IFERROR(IF(AK12&lt;&gt;"",AK12,IF(State="TX",INDEX(TX_EFLHSanAntonio[[EFLHhDX]:[EFLHhPTRoom]],MATCH(Inventory!C12,TX_EFLHSanAntonio[Building Type],0),MATCH(BU12,EFLH!$S$2:$T$2,0)),VLOOKUP(C12,INDIRECT($BY$5),3,FALSE))),"-")</f>
        <v>-</v>
      </c>
      <c r="BY12" s="565">
        <f>IF(AM12&lt;&gt;"",AM12,IF(State="TX",INDEX(TX_EFLHSanAntonio[[NCPAir Cooled Chiller]:[NCPPTRoom]],MATCH(Inventory!C12,TX_EFLHSanAntonio[Building Type],0),MATCH(BU12,EFLH!$K$2:$N$2,0)),0))</f>
        <v>0</v>
      </c>
      <c r="BZ12" s="598" t="e">
        <f t="shared" ca="1" si="23"/>
        <v>#N/A</v>
      </c>
      <c r="CA12" s="599" t="e">
        <f t="shared" ca="1" si="24"/>
        <v>#N/A</v>
      </c>
      <c r="CB12" s="599" t="str">
        <f t="shared" ca="1" si="25"/>
        <v/>
      </c>
      <c r="CC12" s="599" t="e">
        <f t="shared" ca="1" si="26"/>
        <v>#N/A</v>
      </c>
      <c r="CD12" s="599" t="e">
        <f t="shared" ca="1" si="27"/>
        <v>#N/A</v>
      </c>
      <c r="CE12" s="599" t="str">
        <f t="shared" ca="1" si="28"/>
        <v/>
      </c>
      <c r="CF12" s="599" t="b">
        <f t="shared" si="29"/>
        <v>0</v>
      </c>
      <c r="CG12" s="599" t="e">
        <f t="shared" ca="1" si="30"/>
        <v>#N/A</v>
      </c>
      <c r="CH12" s="599" t="e">
        <f t="shared" ca="1" si="31"/>
        <v>#N/A</v>
      </c>
      <c r="CI12" s="599" t="str">
        <f t="shared" ca="1" si="32"/>
        <v/>
      </c>
      <c r="CJ12" s="599" t="str">
        <f t="shared" si="33"/>
        <v/>
      </c>
      <c r="CK12" s="599" t="str">
        <f t="shared" si="34"/>
        <v/>
      </c>
      <c r="CL12" s="600" t="str">
        <f t="shared" si="35"/>
        <v/>
      </c>
      <c r="CM12" s="228" t="e">
        <f t="shared" ca="1" si="36"/>
        <v>#N/A</v>
      </c>
      <c r="CN12" s="228" t="e">
        <f t="shared" ca="1" si="37"/>
        <v>#N/A</v>
      </c>
      <c r="CO12" s="232" t="e">
        <f t="shared" ca="1" si="38"/>
        <v>#N/A</v>
      </c>
      <c r="CP12" s="232">
        <f t="shared" ca="1" si="39"/>
        <v>0</v>
      </c>
      <c r="CQ12" s="228" t="e">
        <f t="shared" ca="1" si="40"/>
        <v>#N/A</v>
      </c>
      <c r="CR12" s="228" t="e">
        <f t="shared" ca="1" si="41"/>
        <v>#N/A</v>
      </c>
      <c r="CS12" s="232" t="e">
        <f t="shared" ca="1" si="42"/>
        <v>#N/A</v>
      </c>
      <c r="CT12" s="232" t="e">
        <f t="shared" ca="1" si="43"/>
        <v>#VALUE!</v>
      </c>
      <c r="CU12" s="228" t="e">
        <f t="shared" ca="1" si="44"/>
        <v>#N/A</v>
      </c>
      <c r="CV12" s="228" t="e">
        <f t="shared" ca="1" si="45"/>
        <v>#N/A</v>
      </c>
      <c r="CW12" s="232" t="e">
        <f t="shared" ca="1" si="46"/>
        <v>#N/A</v>
      </c>
      <c r="CX12" s="237" t="e">
        <f t="shared" ca="1" si="47"/>
        <v>#VALUE!</v>
      </c>
      <c r="CY12" s="233">
        <f t="shared" si="77"/>
        <v>0</v>
      </c>
      <c r="CZ12" s="233">
        <f t="shared" si="78"/>
        <v>0</v>
      </c>
      <c r="DA12" s="246">
        <f t="shared" si="79"/>
        <v>0</v>
      </c>
      <c r="DB12" s="246">
        <f t="shared" si="80"/>
        <v>0</v>
      </c>
      <c r="DC12" s="562" t="e">
        <f>INDEX('Utility Admin'!$P$2:$AD$2,1,MATCH($Q12,'Utility Admin'!$P$3:$AD$3,0))</f>
        <v>#N/A</v>
      </c>
      <c r="DD12" s="131" t="e">
        <f>INDEX('Utility Admin'!AE$2:AS$2,1,MATCH($Q12,'Utility Admin'!$P$3:$AD$3,0))</f>
        <v>#N/A</v>
      </c>
      <c r="DE12" s="239" t="e">
        <f>IF(kWhOverride="",INDEX('Utility Admin'!$AT$2:$BH$2,1,MATCH($Q12,'Utility Admin'!$P$3:$AD$3,0)),kWhOverride)</f>
        <v>#N/A</v>
      </c>
      <c r="DF12" s="230" t="str" cm="1">
        <f t="array" ref="DF12">IF(B12="New Construction","",IF(L12="","",MAX(ProgramYear-BK12,1,)))</f>
        <v/>
      </c>
      <c r="DG12" s="234" t="e">
        <f>INDEX('Equipment Lookups'!$AI$5:$BV$55,MATCH(Inventory!BL12,'Equipment Lookups'!$J$5:$J$55,0),MATCH(Inventory!DF12,'Equipment Lookups'!$AI$4:$BV$4,0))</f>
        <v>#N/A</v>
      </c>
      <c r="DH12" s="230" t="e">
        <f>INDEX('Equipment Lookups'!$AH$5:$AH$55,MATCH(Inventory!BS12,'Equipment Lookups'!$J$5:$J$55,0))</f>
        <v>#N/A</v>
      </c>
      <c r="DI12" s="131" t="e">
        <f t="shared" si="81"/>
        <v>#N/A</v>
      </c>
      <c r="DJ12" s="131" t="e">
        <f t="shared" ca="1" si="82"/>
        <v>#N/A</v>
      </c>
      <c r="DK12" s="131" t="e">
        <f t="shared" ca="1" si="83"/>
        <v>#N/A</v>
      </c>
      <c r="DL12" s="131" t="e">
        <f t="shared" ca="1" si="84"/>
        <v>#N/A</v>
      </c>
      <c r="DM12" s="131" t="e">
        <f t="shared" ca="1" si="85"/>
        <v>#N/A</v>
      </c>
      <c r="DN12" s="131" t="e">
        <f t="shared" ca="1" si="86"/>
        <v>#N/A</v>
      </c>
      <c r="DO12" s="131" t="e">
        <f t="shared" ca="1" si="87"/>
        <v>#N/A</v>
      </c>
      <c r="DP12" s="131" t="e">
        <f t="shared" ca="1" si="97"/>
        <v>#N/A</v>
      </c>
      <c r="DQ12" s="131" t="e">
        <f t="shared" ca="1" si="98"/>
        <v>#N/A</v>
      </c>
      <c r="DR12" s="131" t="e">
        <f t="shared" ca="1" si="88"/>
        <v>#N/A</v>
      </c>
      <c r="DS12" s="131" t="e">
        <f t="shared" ca="1" si="89"/>
        <v>#N/A</v>
      </c>
      <c r="DT12" s="131" t="e">
        <f t="shared" ca="1" si="90"/>
        <v>#N/A</v>
      </c>
      <c r="DU12" s="131" t="e">
        <f t="shared" ca="1" si="99"/>
        <v>#N/A</v>
      </c>
      <c r="DV12" s="131" t="e">
        <f t="shared" si="91"/>
        <v>#N/A</v>
      </c>
      <c r="DW12" s="131" t="e">
        <f t="shared" si="100"/>
        <v>#N/A</v>
      </c>
      <c r="DX12" s="131" t="e">
        <f t="shared" ca="1" si="92"/>
        <v>#N/A</v>
      </c>
      <c r="DY12" s="131" t="e">
        <f t="shared" ca="1" si="93"/>
        <v>#N/A</v>
      </c>
      <c r="DZ12" s="131" t="e">
        <f t="shared" ca="1" si="94"/>
        <v>#N/A</v>
      </c>
      <c r="EA12" s="131" t="e">
        <f t="shared" ca="1" si="101"/>
        <v>#N/A</v>
      </c>
      <c r="EB12" s="250">
        <f t="shared" ca="1" si="64"/>
        <v>0</v>
      </c>
      <c r="EC12" s="131">
        <f t="shared" ca="1" si="65"/>
        <v>0</v>
      </c>
      <c r="ED12" s="131">
        <f t="shared" ca="1" si="66"/>
        <v>0</v>
      </c>
    </row>
    <row r="13" spans="1:135" ht="30" customHeight="1" x14ac:dyDescent="0.25">
      <c r="A13" s="132">
        <v>6</v>
      </c>
      <c r="B13" s="481"/>
      <c r="C13" s="113"/>
      <c r="D13" s="480"/>
      <c r="E13" s="480"/>
      <c r="F13" s="285"/>
      <c r="G13" s="284"/>
      <c r="H13" s="287"/>
      <c r="I13" s="521" t="str">
        <f t="shared" si="1"/>
        <v/>
      </c>
      <c r="J13" s="110"/>
      <c r="K13" s="110"/>
      <c r="L13" s="114"/>
      <c r="M13" s="498"/>
      <c r="N13" s="633"/>
      <c r="O13" s="111"/>
      <c r="P13" s="111"/>
      <c r="Q13" s="110"/>
      <c r="R13" s="288"/>
      <c r="S13" s="494" t="str">
        <f t="shared" si="2"/>
        <v/>
      </c>
      <c r="T13" s="288"/>
      <c r="U13" s="494" t="str">
        <f t="shared" si="3"/>
        <v/>
      </c>
      <c r="V13" s="110"/>
      <c r="W13" s="110"/>
      <c r="X13" s="546" t="str">
        <f t="shared" si="4"/>
        <v/>
      </c>
      <c r="Y13" s="110"/>
      <c r="Z13" s="110"/>
      <c r="AA13" s="112"/>
      <c r="AB13" s="112"/>
      <c r="AC13" s="639" t="str">
        <f t="shared" si="5"/>
        <v/>
      </c>
      <c r="AD13" s="112"/>
      <c r="AE13" s="496" t="str">
        <f t="shared" si="6"/>
        <v/>
      </c>
      <c r="AF13" s="482"/>
      <c r="AG13" s="533"/>
      <c r="AH13" s="534"/>
      <c r="AI13" s="538"/>
      <c r="AJ13" s="409"/>
      <c r="AK13" s="409"/>
      <c r="AL13" s="112"/>
      <c r="AM13" s="679"/>
      <c r="AN13" s="683">
        <f t="shared" si="67"/>
        <v>0</v>
      </c>
      <c r="AO13" s="681">
        <f t="shared" si="68"/>
        <v>0</v>
      </c>
      <c r="AP13" s="223">
        <f t="shared" si="7"/>
        <v>0</v>
      </c>
      <c r="AQ13" s="224">
        <f>IFERROR(IF($AR$3&lt;'Utility Admin'!$I$2,AR13,'Utility Admin'!$I$2/Inventory!$AR$3*AR13),0)</f>
        <v>0</v>
      </c>
      <c r="AR13" s="602">
        <f t="shared" si="8"/>
        <v>0</v>
      </c>
      <c r="AS13" s="604">
        <f t="shared" si="69"/>
        <v>0</v>
      </c>
      <c r="AT13" s="225"/>
      <c r="AU13" s="511" t="str">
        <f t="shared" si="10"/>
        <v/>
      </c>
      <c r="AV13" s="545" t="str">
        <f t="shared" si="11"/>
        <v/>
      </c>
      <c r="AW13" s="129" t="str">
        <f t="shared" si="70"/>
        <v/>
      </c>
      <c r="AX13" s="542" t="str">
        <f t="shared" si="12"/>
        <v/>
      </c>
      <c r="AY13" s="130" t="str">
        <f t="shared" si="71"/>
        <v/>
      </c>
      <c r="AZ13" s="399"/>
      <c r="BA13" s="417">
        <f t="shared" si="13"/>
        <v>0</v>
      </c>
      <c r="BB13" s="131">
        <f t="shared" si="14"/>
        <v>0</v>
      </c>
      <c r="BC13" s="131">
        <f t="shared" si="15"/>
        <v>0</v>
      </c>
      <c r="BD13" s="228" t="str">
        <f t="shared" si="72"/>
        <v/>
      </c>
      <c r="BE13" s="228">
        <f t="shared" si="73"/>
        <v>0</v>
      </c>
      <c r="BF13" s="761" t="str">
        <f>IF('Project Info'!$D$7="TX",INDEX(EFLH!$U$4:$U$31,MATCH(C13,TX_EFLHSanAntonio[Building Type],0),1),'Project Info'!$D$7&amp;"EquipmentType")</f>
        <v>EquipmentType</v>
      </c>
      <c r="BG13" s="229">
        <f t="shared" si="17"/>
        <v>0</v>
      </c>
      <c r="BH13" s="229">
        <f t="shared" si="18"/>
        <v>0</v>
      </c>
      <c r="BI13" s="229">
        <f t="shared" si="19"/>
        <v>0</v>
      </c>
      <c r="BJ13" s="230" t="e">
        <f>HLOOKUP(BI13,'Equipment Lookups'!$L$4:$AE$55,VLOOKUP(Inventory!BL13,'Equipment Lookups'!$J$5:$K$55,2,FALSE),TRUE)</f>
        <v>#N/A</v>
      </c>
      <c r="BK13" s="231" t="str" cm="1">
        <f t="array" ref="BK13">IF(L13="","",MAX(IF(L13="Unknown",ProgramYear-INDEX('Equipment Lookups'!$AF$5:$AF$38,MATCH(Inventory!BL13,'Equipment Lookups'!$J$5:$J$38,0)),_xlfn.NUMBERVALUE(RIGHT(L13,4))),INDEX(BaselineRow,1)))</f>
        <v/>
      </c>
      <c r="BL13" s="232" t="str">
        <f t="shared" si="74"/>
        <v/>
      </c>
      <c r="BM13" s="232" t="e">
        <f t="shared" si="20"/>
        <v>#N/A</v>
      </c>
      <c r="BN13" s="229">
        <f t="shared" si="95"/>
        <v>0</v>
      </c>
      <c r="BO13" s="229">
        <f t="shared" si="102"/>
        <v>0</v>
      </c>
      <c r="BP13" s="229">
        <f t="shared" si="96"/>
        <v>0</v>
      </c>
      <c r="BQ13" s="229">
        <f t="shared" si="75"/>
        <v>0</v>
      </c>
      <c r="BR13" s="229" t="e">
        <f>HLOOKUP(BP13,'Equipment Lookups'!$L$4:$AE$55,VLOOKUP(Inventory!BS13,'Equipment Lookups'!$J$5:$K$55,2,FALSE),TRUE)</f>
        <v>#N/A</v>
      </c>
      <c r="BS13" s="232" t="str">
        <f t="shared" si="76"/>
        <v/>
      </c>
      <c r="BT13" s="232" t="e">
        <f t="shared" si="22"/>
        <v>#N/A</v>
      </c>
      <c r="BU13" s="230" t="e">
        <f>INDEX('Equipment Lookups'!$AG$5:$AG$55,MATCH(Inventory!BS13,'Equipment Lookups'!$J$5:$J$55,0))</f>
        <v>#N/A</v>
      </c>
      <c r="BV13" s="568" t="str">
        <f ca="1">IFERROR(IF(AL13&lt;&gt;"",AL13,IF(State="TX",INDEX(TX_EFLHSanAntonio[[CFAir Cooled Chiller]:[CFPTRoom]],MATCH(Inventory!C13,TX_EFLHSanAntonio[Building Type],0),MATCH(BU13,EFLH!$G$2:$J$2,0)),VLOOKUP(C13,INDIRECT($BY$5),4,FALSE))),"-")</f>
        <v>-</v>
      </c>
      <c r="BW13" s="580" t="str">
        <f ca="1">IFERROR(IF(AJ13&lt;&gt;"",AJ13,IF(State="TX",INDEX(TX_EFLHSanAntonio[[EFLHcAir Cooled Chiller]:[EFLHcPTRoom]],MATCH(Inventory!C13,TX_EFLHSanAntonio[Building Type],0),MATCH(BU13,EFLH!$O$2:$R$2,0)),VLOOKUP(C13,INDIRECT($BY$5),2,FALSE))),"-")</f>
        <v>-</v>
      </c>
      <c r="BX13" s="581" t="str">
        <f ca="1">IFERROR(IF(AK13&lt;&gt;"",AK13,IF(State="TX",INDEX(TX_EFLHSanAntonio[[EFLHhDX]:[EFLHhPTRoom]],MATCH(Inventory!C13,TX_EFLHSanAntonio[Building Type],0),MATCH(BU13,EFLH!$S$2:$T$2,0)),VLOOKUP(C13,INDIRECT($BY$5),3,FALSE))),"-")</f>
        <v>-</v>
      </c>
      <c r="BY13" s="565">
        <f>IF(AM13&lt;&gt;"",AM13,IF(State="TX",INDEX(TX_EFLHSanAntonio[[NCPAir Cooled Chiller]:[NCPPTRoom]],MATCH(Inventory!C13,TX_EFLHSanAntonio[Building Type],0),MATCH(BU13,EFLH!$K$2:$N$2,0)),0))</f>
        <v>0</v>
      </c>
      <c r="BZ13" s="598" t="e">
        <f t="shared" ca="1" si="23"/>
        <v>#N/A</v>
      </c>
      <c r="CA13" s="599" t="e">
        <f t="shared" ca="1" si="24"/>
        <v>#N/A</v>
      </c>
      <c r="CB13" s="599" t="str">
        <f t="shared" ca="1" si="25"/>
        <v/>
      </c>
      <c r="CC13" s="599" t="e">
        <f t="shared" ca="1" si="26"/>
        <v>#N/A</v>
      </c>
      <c r="CD13" s="599" t="e">
        <f t="shared" ca="1" si="27"/>
        <v>#N/A</v>
      </c>
      <c r="CE13" s="599" t="str">
        <f t="shared" ca="1" si="28"/>
        <v/>
      </c>
      <c r="CF13" s="599" t="b">
        <f t="shared" si="29"/>
        <v>0</v>
      </c>
      <c r="CG13" s="599" t="e">
        <f t="shared" ca="1" si="30"/>
        <v>#N/A</v>
      </c>
      <c r="CH13" s="599" t="e">
        <f t="shared" ca="1" si="31"/>
        <v>#N/A</v>
      </c>
      <c r="CI13" s="599" t="str">
        <f t="shared" ca="1" si="32"/>
        <v/>
      </c>
      <c r="CJ13" s="599" t="str">
        <f t="shared" si="33"/>
        <v/>
      </c>
      <c r="CK13" s="599" t="str">
        <f t="shared" si="34"/>
        <v/>
      </c>
      <c r="CL13" s="600" t="str">
        <f t="shared" si="35"/>
        <v/>
      </c>
      <c r="CM13" s="228" t="e">
        <f t="shared" ca="1" si="36"/>
        <v>#N/A</v>
      </c>
      <c r="CN13" s="228" t="e">
        <f t="shared" ca="1" si="37"/>
        <v>#N/A</v>
      </c>
      <c r="CO13" s="232" t="e">
        <f t="shared" ca="1" si="38"/>
        <v>#N/A</v>
      </c>
      <c r="CP13" s="232">
        <f t="shared" ca="1" si="39"/>
        <v>0</v>
      </c>
      <c r="CQ13" s="228" t="e">
        <f t="shared" ca="1" si="40"/>
        <v>#N/A</v>
      </c>
      <c r="CR13" s="228" t="e">
        <f t="shared" ca="1" si="41"/>
        <v>#N/A</v>
      </c>
      <c r="CS13" s="232" t="e">
        <f t="shared" ca="1" si="42"/>
        <v>#N/A</v>
      </c>
      <c r="CT13" s="232" t="e">
        <f t="shared" ca="1" si="43"/>
        <v>#VALUE!</v>
      </c>
      <c r="CU13" s="228" t="e">
        <f t="shared" ca="1" si="44"/>
        <v>#N/A</v>
      </c>
      <c r="CV13" s="228" t="e">
        <f t="shared" ca="1" si="45"/>
        <v>#N/A</v>
      </c>
      <c r="CW13" s="232" t="e">
        <f t="shared" ca="1" si="46"/>
        <v>#N/A</v>
      </c>
      <c r="CX13" s="237" t="e">
        <f t="shared" ca="1" si="47"/>
        <v>#VALUE!</v>
      </c>
      <c r="CY13" s="233">
        <f t="shared" si="77"/>
        <v>0</v>
      </c>
      <c r="CZ13" s="233">
        <f t="shared" si="78"/>
        <v>0</v>
      </c>
      <c r="DA13" s="246">
        <f t="shared" si="79"/>
        <v>0</v>
      </c>
      <c r="DB13" s="246">
        <f t="shared" si="80"/>
        <v>0</v>
      </c>
      <c r="DC13" s="562" t="e">
        <f>INDEX('Utility Admin'!$P$2:$AD$2,1,MATCH($Q13,'Utility Admin'!$P$3:$AD$3,0))</f>
        <v>#N/A</v>
      </c>
      <c r="DD13" s="131" t="e">
        <f>INDEX('Utility Admin'!AE$2:AS$2,1,MATCH($Q13,'Utility Admin'!$P$3:$AD$3,0))</f>
        <v>#N/A</v>
      </c>
      <c r="DE13" s="239" t="e">
        <f>IF(kWhOverride="",INDEX('Utility Admin'!$AT$2:$BH$2,1,MATCH($Q13,'Utility Admin'!$P$3:$AD$3,0)),kWhOverride)</f>
        <v>#N/A</v>
      </c>
      <c r="DF13" s="230" t="str" cm="1">
        <f t="array" ref="DF13">IF(B13="New Construction","",IF(L13="","",MAX(ProgramYear-BK13,1,)))</f>
        <v/>
      </c>
      <c r="DG13" s="234" t="e">
        <f>INDEX('Equipment Lookups'!$AI$5:$BV$55,MATCH(Inventory!BL13,'Equipment Lookups'!$J$5:$J$55,0),MATCH(Inventory!DF13,'Equipment Lookups'!$AI$4:$BV$4,0))</f>
        <v>#N/A</v>
      </c>
      <c r="DH13" s="230" t="e">
        <f>INDEX('Equipment Lookups'!$AH$5:$AH$55,MATCH(Inventory!BS13,'Equipment Lookups'!$J$5:$J$55,0))</f>
        <v>#N/A</v>
      </c>
      <c r="DI13" s="131" t="e">
        <f t="shared" si="81"/>
        <v>#N/A</v>
      </c>
      <c r="DJ13" s="131" t="e">
        <f t="shared" ca="1" si="82"/>
        <v>#N/A</v>
      </c>
      <c r="DK13" s="131" t="e">
        <f t="shared" ca="1" si="83"/>
        <v>#N/A</v>
      </c>
      <c r="DL13" s="131" t="e">
        <f t="shared" ca="1" si="84"/>
        <v>#N/A</v>
      </c>
      <c r="DM13" s="131" t="e">
        <f t="shared" ca="1" si="85"/>
        <v>#N/A</v>
      </c>
      <c r="DN13" s="131" t="e">
        <f t="shared" ca="1" si="86"/>
        <v>#N/A</v>
      </c>
      <c r="DO13" s="131" t="e">
        <f t="shared" ca="1" si="87"/>
        <v>#N/A</v>
      </c>
      <c r="DP13" s="131" t="e">
        <f t="shared" ca="1" si="97"/>
        <v>#N/A</v>
      </c>
      <c r="DQ13" s="131" t="e">
        <f t="shared" ca="1" si="98"/>
        <v>#N/A</v>
      </c>
      <c r="DR13" s="131" t="e">
        <f t="shared" ca="1" si="88"/>
        <v>#N/A</v>
      </c>
      <c r="DS13" s="131" t="e">
        <f t="shared" ca="1" si="89"/>
        <v>#N/A</v>
      </c>
      <c r="DT13" s="131" t="e">
        <f t="shared" ca="1" si="90"/>
        <v>#N/A</v>
      </c>
      <c r="DU13" s="131" t="e">
        <f t="shared" ca="1" si="99"/>
        <v>#N/A</v>
      </c>
      <c r="DV13" s="131" t="e">
        <f t="shared" si="91"/>
        <v>#N/A</v>
      </c>
      <c r="DW13" s="131" t="e">
        <f t="shared" si="100"/>
        <v>#N/A</v>
      </c>
      <c r="DX13" s="131" t="e">
        <f t="shared" ca="1" si="92"/>
        <v>#N/A</v>
      </c>
      <c r="DY13" s="131" t="e">
        <f t="shared" ca="1" si="93"/>
        <v>#N/A</v>
      </c>
      <c r="DZ13" s="131" t="e">
        <f t="shared" ca="1" si="94"/>
        <v>#N/A</v>
      </c>
      <c r="EA13" s="131" t="e">
        <f t="shared" ca="1" si="101"/>
        <v>#N/A</v>
      </c>
      <c r="EB13" s="250">
        <f t="shared" ca="1" si="64"/>
        <v>0</v>
      </c>
      <c r="EC13" s="131">
        <f t="shared" ca="1" si="65"/>
        <v>0</v>
      </c>
      <c r="ED13" s="131">
        <f t="shared" ca="1" si="66"/>
        <v>0</v>
      </c>
    </row>
    <row r="14" spans="1:135" ht="30" customHeight="1" x14ac:dyDescent="0.25">
      <c r="A14" s="128">
        <v>7</v>
      </c>
      <c r="B14" s="481"/>
      <c r="C14" s="113"/>
      <c r="D14" s="480"/>
      <c r="E14" s="480"/>
      <c r="F14" s="285"/>
      <c r="G14" s="284"/>
      <c r="H14" s="287"/>
      <c r="I14" s="521" t="str">
        <f t="shared" si="1"/>
        <v/>
      </c>
      <c r="J14" s="110"/>
      <c r="K14" s="110"/>
      <c r="L14" s="114"/>
      <c r="M14" s="498"/>
      <c r="N14" s="633"/>
      <c r="O14" s="111"/>
      <c r="P14" s="111"/>
      <c r="Q14" s="110"/>
      <c r="R14" s="288"/>
      <c r="S14" s="494" t="str">
        <f t="shared" si="2"/>
        <v/>
      </c>
      <c r="T14" s="288"/>
      <c r="U14" s="494" t="str">
        <f t="shared" si="3"/>
        <v/>
      </c>
      <c r="V14" s="110"/>
      <c r="W14" s="110"/>
      <c r="X14" s="546" t="str">
        <f t="shared" si="4"/>
        <v/>
      </c>
      <c r="Y14" s="110"/>
      <c r="Z14" s="110"/>
      <c r="AA14" s="112"/>
      <c r="AB14" s="112"/>
      <c r="AC14" s="639" t="str">
        <f t="shared" si="5"/>
        <v/>
      </c>
      <c r="AD14" s="112"/>
      <c r="AE14" s="496" t="str">
        <f t="shared" si="6"/>
        <v/>
      </c>
      <c r="AF14" s="482"/>
      <c r="AG14" s="533"/>
      <c r="AH14" s="534"/>
      <c r="AI14" s="538"/>
      <c r="AJ14" s="409"/>
      <c r="AK14" s="409"/>
      <c r="AL14" s="112"/>
      <c r="AM14" s="679"/>
      <c r="AN14" s="683">
        <f t="shared" si="67"/>
        <v>0</v>
      </c>
      <c r="AO14" s="681">
        <f t="shared" si="68"/>
        <v>0</v>
      </c>
      <c r="AP14" s="223">
        <f t="shared" si="7"/>
        <v>0</v>
      </c>
      <c r="AQ14" s="224">
        <f>IFERROR(IF($AR$3&lt;'Utility Admin'!$I$2,AR14,'Utility Admin'!$I$2/Inventory!$AR$3*AR14),0)</f>
        <v>0</v>
      </c>
      <c r="AR14" s="602">
        <f t="shared" si="8"/>
        <v>0</v>
      </c>
      <c r="AS14" s="604">
        <f t="shared" si="69"/>
        <v>0</v>
      </c>
      <c r="AT14" s="225"/>
      <c r="AU14" s="511" t="str">
        <f t="shared" si="10"/>
        <v/>
      </c>
      <c r="AV14" s="545" t="str">
        <f t="shared" si="11"/>
        <v/>
      </c>
      <c r="AW14" s="129" t="str">
        <f t="shared" si="70"/>
        <v/>
      </c>
      <c r="AX14" s="542" t="str">
        <f t="shared" si="12"/>
        <v/>
      </c>
      <c r="AY14" s="130" t="str">
        <f t="shared" si="71"/>
        <v/>
      </c>
      <c r="AZ14" s="399"/>
      <c r="BA14" s="417">
        <f t="shared" si="13"/>
        <v>0</v>
      </c>
      <c r="BB14" s="131">
        <f t="shared" si="14"/>
        <v>0</v>
      </c>
      <c r="BC14" s="131">
        <f t="shared" si="15"/>
        <v>0</v>
      </c>
      <c r="BD14" s="228" t="str">
        <f t="shared" si="72"/>
        <v/>
      </c>
      <c r="BE14" s="228">
        <f t="shared" si="73"/>
        <v>0</v>
      </c>
      <c r="BF14" s="761" t="str">
        <f>IF('Project Info'!$D$7="TX",INDEX(EFLH!$U$4:$U$31,MATCH(C14,TX_EFLHSanAntonio[Building Type],0),1),'Project Info'!$D$7&amp;"EquipmentType")</f>
        <v>EquipmentType</v>
      </c>
      <c r="BG14" s="229">
        <f t="shared" si="17"/>
        <v>0</v>
      </c>
      <c r="BH14" s="229">
        <f t="shared" si="18"/>
        <v>0</v>
      </c>
      <c r="BI14" s="229">
        <f t="shared" si="19"/>
        <v>0</v>
      </c>
      <c r="BJ14" s="230" t="e">
        <f>HLOOKUP(BI14,'Equipment Lookups'!$L$4:$AE$55,VLOOKUP(Inventory!BL14,'Equipment Lookups'!$J$5:$K$55,2,FALSE),TRUE)</f>
        <v>#N/A</v>
      </c>
      <c r="BK14" s="231" t="str" cm="1">
        <f t="array" ref="BK14">IF(L14="","",MAX(IF(L14="Unknown",ProgramYear-INDEX('Equipment Lookups'!$AF$5:$AF$38,MATCH(Inventory!BL14,'Equipment Lookups'!$J$5:$J$38,0)),_xlfn.NUMBERVALUE(RIGHT(L14,4))),INDEX(BaselineRow,1)))</f>
        <v/>
      </c>
      <c r="BL14" s="232" t="str">
        <f t="shared" si="74"/>
        <v/>
      </c>
      <c r="BM14" s="232" t="e">
        <f t="shared" si="20"/>
        <v>#N/A</v>
      </c>
      <c r="BN14" s="229">
        <f t="shared" si="95"/>
        <v>0</v>
      </c>
      <c r="BO14" s="229">
        <f t="shared" si="102"/>
        <v>0</v>
      </c>
      <c r="BP14" s="229">
        <f t="shared" si="96"/>
        <v>0</v>
      </c>
      <c r="BQ14" s="229">
        <f t="shared" si="75"/>
        <v>0</v>
      </c>
      <c r="BR14" s="229" t="e">
        <f>HLOOKUP(BP14,'Equipment Lookups'!$L$4:$AE$55,VLOOKUP(Inventory!BS14,'Equipment Lookups'!$J$5:$K$55,2,FALSE),TRUE)</f>
        <v>#N/A</v>
      </c>
      <c r="BS14" s="232" t="str">
        <f t="shared" si="76"/>
        <v/>
      </c>
      <c r="BT14" s="232" t="e">
        <f t="shared" si="22"/>
        <v>#N/A</v>
      </c>
      <c r="BU14" s="230" t="e">
        <f>INDEX('Equipment Lookups'!$AG$5:$AG$55,MATCH(Inventory!BS14,'Equipment Lookups'!$J$5:$J$55,0))</f>
        <v>#N/A</v>
      </c>
      <c r="BV14" s="568" t="str">
        <f ca="1">IFERROR(IF(AL14&lt;&gt;"",AL14,IF(State="TX",INDEX(TX_EFLHSanAntonio[[CFAir Cooled Chiller]:[CFPTRoom]],MATCH(Inventory!C14,TX_EFLHSanAntonio[Building Type],0),MATCH(BU14,EFLH!$G$2:$J$2,0)),VLOOKUP(C14,INDIRECT($BY$5),4,FALSE))),"-")</f>
        <v>-</v>
      </c>
      <c r="BW14" s="580" t="str">
        <f ca="1">IFERROR(IF(AJ14&lt;&gt;"",AJ14,IF(State="TX",INDEX(TX_EFLHSanAntonio[[EFLHcAir Cooled Chiller]:[EFLHcPTRoom]],MATCH(Inventory!C14,TX_EFLHSanAntonio[Building Type],0),MATCH(BU14,EFLH!$O$2:$R$2,0)),VLOOKUP(C14,INDIRECT($BY$5),2,FALSE))),"-")</f>
        <v>-</v>
      </c>
      <c r="BX14" s="581" t="str">
        <f ca="1">IFERROR(IF(AK14&lt;&gt;"",AK14,IF(State="TX",INDEX(TX_EFLHSanAntonio[[EFLHhDX]:[EFLHhPTRoom]],MATCH(Inventory!C14,TX_EFLHSanAntonio[Building Type],0),MATCH(BU14,EFLH!$S$2:$T$2,0)),VLOOKUP(C14,INDIRECT($BY$5),3,FALSE))),"-")</f>
        <v>-</v>
      </c>
      <c r="BY14" s="565">
        <f>IF(AM14&lt;&gt;"",AM14,IF(State="TX",INDEX(TX_EFLHSanAntonio[[NCPAir Cooled Chiller]:[NCPPTRoom]],MATCH(Inventory!C14,TX_EFLHSanAntonio[Building Type],0),MATCH(BU14,EFLH!$K$2:$N$2,0)),0))</f>
        <v>0</v>
      </c>
      <c r="BZ14" s="598" t="e">
        <f t="shared" ca="1" si="23"/>
        <v>#N/A</v>
      </c>
      <c r="CA14" s="599" t="e">
        <f t="shared" ca="1" si="24"/>
        <v>#N/A</v>
      </c>
      <c r="CB14" s="599" t="str">
        <f t="shared" ca="1" si="25"/>
        <v/>
      </c>
      <c r="CC14" s="599" t="e">
        <f t="shared" ca="1" si="26"/>
        <v>#N/A</v>
      </c>
      <c r="CD14" s="599" t="e">
        <f t="shared" ca="1" si="27"/>
        <v>#N/A</v>
      </c>
      <c r="CE14" s="599" t="str">
        <f t="shared" ca="1" si="28"/>
        <v/>
      </c>
      <c r="CF14" s="599" t="b">
        <f t="shared" si="29"/>
        <v>0</v>
      </c>
      <c r="CG14" s="599" t="e">
        <f t="shared" ca="1" si="30"/>
        <v>#N/A</v>
      </c>
      <c r="CH14" s="599" t="e">
        <f t="shared" ca="1" si="31"/>
        <v>#N/A</v>
      </c>
      <c r="CI14" s="599" t="str">
        <f t="shared" ca="1" si="32"/>
        <v/>
      </c>
      <c r="CJ14" s="599" t="str">
        <f t="shared" si="33"/>
        <v/>
      </c>
      <c r="CK14" s="599" t="str">
        <f t="shared" si="34"/>
        <v/>
      </c>
      <c r="CL14" s="600" t="str">
        <f t="shared" si="35"/>
        <v/>
      </c>
      <c r="CM14" s="228" t="e">
        <f t="shared" ca="1" si="36"/>
        <v>#N/A</v>
      </c>
      <c r="CN14" s="228" t="e">
        <f t="shared" ca="1" si="37"/>
        <v>#N/A</v>
      </c>
      <c r="CO14" s="232" t="e">
        <f t="shared" ca="1" si="38"/>
        <v>#N/A</v>
      </c>
      <c r="CP14" s="232">
        <f t="shared" ca="1" si="39"/>
        <v>0</v>
      </c>
      <c r="CQ14" s="228" t="e">
        <f t="shared" ca="1" si="40"/>
        <v>#N/A</v>
      </c>
      <c r="CR14" s="228" t="e">
        <f t="shared" ca="1" si="41"/>
        <v>#N/A</v>
      </c>
      <c r="CS14" s="232" t="e">
        <f t="shared" ca="1" si="42"/>
        <v>#N/A</v>
      </c>
      <c r="CT14" s="232" t="e">
        <f t="shared" ca="1" si="43"/>
        <v>#VALUE!</v>
      </c>
      <c r="CU14" s="228" t="e">
        <f t="shared" ca="1" si="44"/>
        <v>#N/A</v>
      </c>
      <c r="CV14" s="228" t="e">
        <f t="shared" ca="1" si="45"/>
        <v>#N/A</v>
      </c>
      <c r="CW14" s="232" t="e">
        <f t="shared" ca="1" si="46"/>
        <v>#N/A</v>
      </c>
      <c r="CX14" s="237" t="e">
        <f t="shared" ca="1" si="47"/>
        <v>#VALUE!</v>
      </c>
      <c r="CY14" s="233">
        <f t="shared" si="77"/>
        <v>0</v>
      </c>
      <c r="CZ14" s="233">
        <f t="shared" si="78"/>
        <v>0</v>
      </c>
      <c r="DA14" s="246">
        <f t="shared" si="79"/>
        <v>0</v>
      </c>
      <c r="DB14" s="246">
        <f t="shared" si="80"/>
        <v>0</v>
      </c>
      <c r="DC14" s="562" t="e">
        <f>INDEX('Utility Admin'!$P$2:$AD$2,1,MATCH($Q14,'Utility Admin'!$P$3:$AD$3,0))</f>
        <v>#N/A</v>
      </c>
      <c r="DD14" s="131" t="e">
        <f>INDEX('Utility Admin'!AE$2:AS$2,1,MATCH($Q14,'Utility Admin'!$P$3:$AD$3,0))</f>
        <v>#N/A</v>
      </c>
      <c r="DE14" s="239" t="e">
        <f>IF(kWhOverride="",INDEX('Utility Admin'!$AT$2:$BH$2,1,MATCH($Q14,'Utility Admin'!$P$3:$AD$3,0)),kWhOverride)</f>
        <v>#N/A</v>
      </c>
      <c r="DF14" s="230" t="str" cm="1">
        <f t="array" ref="DF14">IF(B14="New Construction","",IF(L14="","",MAX(ProgramYear-BK14,1,)))</f>
        <v/>
      </c>
      <c r="DG14" s="234" t="e">
        <f>INDEX('Equipment Lookups'!$AI$5:$BV$55,MATCH(Inventory!BL14,'Equipment Lookups'!$J$5:$J$55,0),MATCH(Inventory!DF14,'Equipment Lookups'!$AI$4:$BV$4,0))</f>
        <v>#N/A</v>
      </c>
      <c r="DH14" s="230" t="e">
        <f>INDEX('Equipment Lookups'!$AH$5:$AH$55,MATCH(Inventory!BS14,'Equipment Lookups'!$J$5:$J$55,0))</f>
        <v>#N/A</v>
      </c>
      <c r="DI14" s="131" t="e">
        <f t="shared" si="81"/>
        <v>#N/A</v>
      </c>
      <c r="DJ14" s="131" t="e">
        <f t="shared" ca="1" si="82"/>
        <v>#N/A</v>
      </c>
      <c r="DK14" s="131" t="e">
        <f t="shared" ca="1" si="83"/>
        <v>#N/A</v>
      </c>
      <c r="DL14" s="131" t="e">
        <f t="shared" ca="1" si="84"/>
        <v>#N/A</v>
      </c>
      <c r="DM14" s="131" t="e">
        <f t="shared" ca="1" si="85"/>
        <v>#N/A</v>
      </c>
      <c r="DN14" s="131" t="e">
        <f t="shared" ca="1" si="86"/>
        <v>#N/A</v>
      </c>
      <c r="DO14" s="131" t="e">
        <f t="shared" ca="1" si="87"/>
        <v>#N/A</v>
      </c>
      <c r="DP14" s="131" t="e">
        <f t="shared" ca="1" si="97"/>
        <v>#N/A</v>
      </c>
      <c r="DQ14" s="131" t="e">
        <f t="shared" ca="1" si="98"/>
        <v>#N/A</v>
      </c>
      <c r="DR14" s="131" t="e">
        <f t="shared" ca="1" si="88"/>
        <v>#N/A</v>
      </c>
      <c r="DS14" s="131" t="e">
        <f t="shared" ca="1" si="89"/>
        <v>#N/A</v>
      </c>
      <c r="DT14" s="131" t="e">
        <f t="shared" ca="1" si="90"/>
        <v>#N/A</v>
      </c>
      <c r="DU14" s="131" t="e">
        <f t="shared" ca="1" si="99"/>
        <v>#N/A</v>
      </c>
      <c r="DV14" s="131" t="e">
        <f t="shared" si="91"/>
        <v>#N/A</v>
      </c>
      <c r="DW14" s="131" t="e">
        <f t="shared" si="100"/>
        <v>#N/A</v>
      </c>
      <c r="DX14" s="131" t="e">
        <f t="shared" ca="1" si="92"/>
        <v>#N/A</v>
      </c>
      <c r="DY14" s="131" t="e">
        <f t="shared" ca="1" si="93"/>
        <v>#N/A</v>
      </c>
      <c r="DZ14" s="131" t="e">
        <f t="shared" ca="1" si="94"/>
        <v>#N/A</v>
      </c>
      <c r="EA14" s="131" t="e">
        <f t="shared" ca="1" si="101"/>
        <v>#N/A</v>
      </c>
      <c r="EB14" s="250">
        <f t="shared" ca="1" si="64"/>
        <v>0</v>
      </c>
      <c r="EC14" s="131">
        <f t="shared" ca="1" si="65"/>
        <v>0</v>
      </c>
      <c r="ED14" s="131">
        <f t="shared" ca="1" si="66"/>
        <v>0</v>
      </c>
    </row>
    <row r="15" spans="1:135" ht="30" customHeight="1" x14ac:dyDescent="0.25">
      <c r="A15" s="132">
        <v>8</v>
      </c>
      <c r="B15" s="481"/>
      <c r="C15" s="113"/>
      <c r="D15" s="480"/>
      <c r="E15" s="480"/>
      <c r="F15" s="285"/>
      <c r="G15" s="284"/>
      <c r="H15" s="287"/>
      <c r="I15" s="521" t="str">
        <f t="shared" si="1"/>
        <v/>
      </c>
      <c r="J15" s="110"/>
      <c r="K15" s="110"/>
      <c r="L15" s="114"/>
      <c r="M15" s="498"/>
      <c r="N15" s="633"/>
      <c r="O15" s="111"/>
      <c r="P15" s="111"/>
      <c r="Q15" s="110"/>
      <c r="R15" s="288"/>
      <c r="S15" s="494" t="str">
        <f t="shared" si="2"/>
        <v/>
      </c>
      <c r="T15" s="288"/>
      <c r="U15" s="494" t="str">
        <f t="shared" si="3"/>
        <v/>
      </c>
      <c r="V15" s="110"/>
      <c r="W15" s="110"/>
      <c r="X15" s="546" t="str">
        <f t="shared" si="4"/>
        <v/>
      </c>
      <c r="Y15" s="110"/>
      <c r="Z15" s="110"/>
      <c r="AA15" s="112"/>
      <c r="AB15" s="112"/>
      <c r="AC15" s="639" t="str">
        <f t="shared" si="5"/>
        <v/>
      </c>
      <c r="AD15" s="112"/>
      <c r="AE15" s="496" t="str">
        <f t="shared" si="6"/>
        <v/>
      </c>
      <c r="AF15" s="482"/>
      <c r="AG15" s="533"/>
      <c r="AH15" s="534"/>
      <c r="AI15" s="538"/>
      <c r="AJ15" s="409"/>
      <c r="AK15" s="409"/>
      <c r="AL15" s="112"/>
      <c r="AM15" s="679"/>
      <c r="AN15" s="683">
        <f t="shared" si="67"/>
        <v>0</v>
      </c>
      <c r="AO15" s="681">
        <f t="shared" si="68"/>
        <v>0</v>
      </c>
      <c r="AP15" s="223">
        <f t="shared" si="7"/>
        <v>0</v>
      </c>
      <c r="AQ15" s="224">
        <f>IFERROR(IF($AR$3&lt;'Utility Admin'!$I$2,AR15,'Utility Admin'!$I$2/Inventory!$AR$3*AR15),0)</f>
        <v>0</v>
      </c>
      <c r="AR15" s="602">
        <f t="shared" si="8"/>
        <v>0</v>
      </c>
      <c r="AS15" s="604">
        <f t="shared" si="69"/>
        <v>0</v>
      </c>
      <c r="AT15" s="225"/>
      <c r="AU15" s="511" t="str">
        <f t="shared" si="10"/>
        <v/>
      </c>
      <c r="AV15" s="545" t="str">
        <f t="shared" si="11"/>
        <v/>
      </c>
      <c r="AW15" s="129" t="str">
        <f t="shared" si="70"/>
        <v/>
      </c>
      <c r="AX15" s="542" t="str">
        <f t="shared" si="12"/>
        <v/>
      </c>
      <c r="AY15" s="130" t="str">
        <f t="shared" si="71"/>
        <v/>
      </c>
      <c r="AZ15" s="399"/>
      <c r="BA15" s="417">
        <f t="shared" si="13"/>
        <v>0</v>
      </c>
      <c r="BB15" s="131">
        <f t="shared" si="14"/>
        <v>0</v>
      </c>
      <c r="BC15" s="131">
        <f t="shared" si="15"/>
        <v>0</v>
      </c>
      <c r="BD15" s="228" t="str">
        <f t="shared" si="72"/>
        <v/>
      </c>
      <c r="BE15" s="228">
        <f t="shared" si="73"/>
        <v>0</v>
      </c>
      <c r="BF15" s="761" t="str">
        <f>IF('Project Info'!$D$7="TX",INDEX(EFLH!$U$4:$U$31,MATCH(C15,TX_EFLHSanAntonio[Building Type],0),1),'Project Info'!$D$7&amp;"EquipmentType")</f>
        <v>EquipmentType</v>
      </c>
      <c r="BG15" s="229">
        <f t="shared" si="17"/>
        <v>0</v>
      </c>
      <c r="BH15" s="229">
        <f t="shared" si="18"/>
        <v>0</v>
      </c>
      <c r="BI15" s="229">
        <f t="shared" si="19"/>
        <v>0</v>
      </c>
      <c r="BJ15" s="230" t="e">
        <f>HLOOKUP(BI15,'Equipment Lookups'!$L$4:$AE$55,VLOOKUP(Inventory!BL15,'Equipment Lookups'!$J$5:$K$55,2,FALSE),TRUE)</f>
        <v>#N/A</v>
      </c>
      <c r="BK15" s="231" t="str" cm="1">
        <f t="array" ref="BK15">IF(L15="","",MAX(IF(L15="Unknown",ProgramYear-INDEX('Equipment Lookups'!$AF$5:$AF$38,MATCH(Inventory!BL15,'Equipment Lookups'!$J$5:$J$38,0)),_xlfn.NUMBERVALUE(RIGHT(L15,4))),INDEX(BaselineRow,1)))</f>
        <v/>
      </c>
      <c r="BL15" s="232" t="str">
        <f t="shared" si="74"/>
        <v/>
      </c>
      <c r="BM15" s="232" t="e">
        <f t="shared" si="20"/>
        <v>#N/A</v>
      </c>
      <c r="BN15" s="229">
        <f t="shared" si="95"/>
        <v>0</v>
      </c>
      <c r="BO15" s="229">
        <f t="shared" si="102"/>
        <v>0</v>
      </c>
      <c r="BP15" s="229">
        <f t="shared" si="96"/>
        <v>0</v>
      </c>
      <c r="BQ15" s="229">
        <f t="shared" si="75"/>
        <v>0</v>
      </c>
      <c r="BR15" s="229" t="e">
        <f>HLOOKUP(BP15,'Equipment Lookups'!$L$4:$AE$55,VLOOKUP(Inventory!BS15,'Equipment Lookups'!$J$5:$K$55,2,FALSE),TRUE)</f>
        <v>#N/A</v>
      </c>
      <c r="BS15" s="232" t="str">
        <f t="shared" si="76"/>
        <v/>
      </c>
      <c r="BT15" s="232" t="e">
        <f t="shared" si="22"/>
        <v>#N/A</v>
      </c>
      <c r="BU15" s="230" t="e">
        <f>INDEX('Equipment Lookups'!$AG$5:$AG$55,MATCH(Inventory!BS15,'Equipment Lookups'!$J$5:$J$55,0))</f>
        <v>#N/A</v>
      </c>
      <c r="BV15" s="568" t="str">
        <f ca="1">IFERROR(IF(AL15&lt;&gt;"",AL15,IF(State="TX",INDEX(TX_EFLHSanAntonio[[CFAir Cooled Chiller]:[CFPTRoom]],MATCH(Inventory!C15,TX_EFLHSanAntonio[Building Type],0),MATCH(BU15,EFLH!$G$2:$J$2,0)),VLOOKUP(C15,INDIRECT($BY$5),4,FALSE))),"-")</f>
        <v>-</v>
      </c>
      <c r="BW15" s="580" t="str">
        <f ca="1">IFERROR(IF(AJ15&lt;&gt;"",AJ15,IF(State="TX",INDEX(TX_EFLHSanAntonio[[EFLHcAir Cooled Chiller]:[EFLHcPTRoom]],MATCH(Inventory!C15,TX_EFLHSanAntonio[Building Type],0),MATCH(BU15,EFLH!$O$2:$R$2,0)),VLOOKUP(C15,INDIRECT($BY$5),2,FALSE))),"-")</f>
        <v>-</v>
      </c>
      <c r="BX15" s="581" t="str">
        <f ca="1">IFERROR(IF(AK15&lt;&gt;"",AK15,IF(State="TX",INDEX(TX_EFLHSanAntonio[[EFLHhDX]:[EFLHhPTRoom]],MATCH(Inventory!C15,TX_EFLHSanAntonio[Building Type],0),MATCH(BU15,EFLH!$S$2:$T$2,0)),VLOOKUP(C15,INDIRECT($BY$5),3,FALSE))),"-")</f>
        <v>-</v>
      </c>
      <c r="BY15" s="565">
        <f>IF(AM15&lt;&gt;"",AM15,IF(State="TX",INDEX(TX_EFLHSanAntonio[[NCPAir Cooled Chiller]:[NCPPTRoom]],MATCH(Inventory!C15,TX_EFLHSanAntonio[Building Type],0),MATCH(BU15,EFLH!$K$2:$N$2,0)),0))</f>
        <v>0</v>
      </c>
      <c r="BZ15" s="598" t="e">
        <f t="shared" ca="1" si="23"/>
        <v>#N/A</v>
      </c>
      <c r="CA15" s="599" t="e">
        <f t="shared" ca="1" si="24"/>
        <v>#N/A</v>
      </c>
      <c r="CB15" s="599" t="str">
        <f t="shared" ca="1" si="25"/>
        <v/>
      </c>
      <c r="CC15" s="599" t="e">
        <f t="shared" ca="1" si="26"/>
        <v>#N/A</v>
      </c>
      <c r="CD15" s="599" t="e">
        <f t="shared" ca="1" si="27"/>
        <v>#N/A</v>
      </c>
      <c r="CE15" s="599" t="str">
        <f t="shared" ca="1" si="28"/>
        <v/>
      </c>
      <c r="CF15" s="599" t="b">
        <f t="shared" si="29"/>
        <v>0</v>
      </c>
      <c r="CG15" s="599" t="e">
        <f t="shared" ca="1" si="30"/>
        <v>#N/A</v>
      </c>
      <c r="CH15" s="599" t="e">
        <f t="shared" ca="1" si="31"/>
        <v>#N/A</v>
      </c>
      <c r="CI15" s="599" t="str">
        <f t="shared" ca="1" si="32"/>
        <v/>
      </c>
      <c r="CJ15" s="599" t="str">
        <f t="shared" si="33"/>
        <v/>
      </c>
      <c r="CK15" s="599" t="str">
        <f t="shared" si="34"/>
        <v/>
      </c>
      <c r="CL15" s="600" t="str">
        <f t="shared" si="35"/>
        <v/>
      </c>
      <c r="CM15" s="228" t="e">
        <f t="shared" ca="1" si="36"/>
        <v>#N/A</v>
      </c>
      <c r="CN15" s="228" t="e">
        <f t="shared" ca="1" si="37"/>
        <v>#N/A</v>
      </c>
      <c r="CO15" s="232" t="e">
        <f t="shared" ca="1" si="38"/>
        <v>#N/A</v>
      </c>
      <c r="CP15" s="232">
        <f t="shared" ca="1" si="39"/>
        <v>0</v>
      </c>
      <c r="CQ15" s="228" t="e">
        <f t="shared" ca="1" si="40"/>
        <v>#N/A</v>
      </c>
      <c r="CR15" s="228" t="e">
        <f t="shared" ca="1" si="41"/>
        <v>#N/A</v>
      </c>
      <c r="CS15" s="232" t="e">
        <f t="shared" ca="1" si="42"/>
        <v>#N/A</v>
      </c>
      <c r="CT15" s="232" t="e">
        <f t="shared" ca="1" si="43"/>
        <v>#VALUE!</v>
      </c>
      <c r="CU15" s="228" t="e">
        <f t="shared" ca="1" si="44"/>
        <v>#N/A</v>
      </c>
      <c r="CV15" s="228" t="e">
        <f t="shared" ca="1" si="45"/>
        <v>#N/A</v>
      </c>
      <c r="CW15" s="232" t="e">
        <f t="shared" ca="1" si="46"/>
        <v>#N/A</v>
      </c>
      <c r="CX15" s="237" t="e">
        <f t="shared" ca="1" si="47"/>
        <v>#VALUE!</v>
      </c>
      <c r="CY15" s="233">
        <f t="shared" si="77"/>
        <v>0</v>
      </c>
      <c r="CZ15" s="233">
        <f t="shared" si="78"/>
        <v>0</v>
      </c>
      <c r="DA15" s="246">
        <f t="shared" si="79"/>
        <v>0</v>
      </c>
      <c r="DB15" s="246">
        <f t="shared" si="80"/>
        <v>0</v>
      </c>
      <c r="DC15" s="562" t="e">
        <f>INDEX('Utility Admin'!$P$2:$AD$2,1,MATCH($Q15,'Utility Admin'!$P$3:$AD$3,0))</f>
        <v>#N/A</v>
      </c>
      <c r="DD15" s="131" t="e">
        <f>INDEX('Utility Admin'!AE$2:AS$2,1,MATCH($Q15,'Utility Admin'!$P$3:$AD$3,0))</f>
        <v>#N/A</v>
      </c>
      <c r="DE15" s="239" t="e">
        <f>IF(kWhOverride="",INDEX('Utility Admin'!$AT$2:$BH$2,1,MATCH($Q15,'Utility Admin'!$P$3:$AD$3,0)),kWhOverride)</f>
        <v>#N/A</v>
      </c>
      <c r="DF15" s="230" t="str" cm="1">
        <f t="array" ref="DF15">IF(B15="New Construction","",IF(L15="","",MAX(ProgramYear-BK15,1,)))</f>
        <v/>
      </c>
      <c r="DG15" s="234" t="e">
        <f>INDEX('Equipment Lookups'!$AI$5:$BV$55,MATCH(Inventory!BL15,'Equipment Lookups'!$J$5:$J$55,0),MATCH(Inventory!DF15,'Equipment Lookups'!$AI$4:$BV$4,0))</f>
        <v>#N/A</v>
      </c>
      <c r="DH15" s="230" t="e">
        <f>INDEX('Equipment Lookups'!$AH$5:$AH$55,MATCH(Inventory!BS15,'Equipment Lookups'!$J$5:$J$55,0))</f>
        <v>#N/A</v>
      </c>
      <c r="DI15" s="131" t="e">
        <f t="shared" si="81"/>
        <v>#N/A</v>
      </c>
      <c r="DJ15" s="131" t="e">
        <f t="shared" ca="1" si="82"/>
        <v>#N/A</v>
      </c>
      <c r="DK15" s="131" t="e">
        <f t="shared" ca="1" si="83"/>
        <v>#N/A</v>
      </c>
      <c r="DL15" s="131" t="e">
        <f t="shared" ca="1" si="84"/>
        <v>#N/A</v>
      </c>
      <c r="DM15" s="131" t="e">
        <f t="shared" ca="1" si="85"/>
        <v>#N/A</v>
      </c>
      <c r="DN15" s="131" t="e">
        <f t="shared" ca="1" si="86"/>
        <v>#N/A</v>
      </c>
      <c r="DO15" s="131" t="e">
        <f t="shared" ca="1" si="87"/>
        <v>#N/A</v>
      </c>
      <c r="DP15" s="131" t="e">
        <f t="shared" ca="1" si="97"/>
        <v>#N/A</v>
      </c>
      <c r="DQ15" s="131" t="e">
        <f t="shared" ca="1" si="98"/>
        <v>#N/A</v>
      </c>
      <c r="DR15" s="131" t="e">
        <f t="shared" ca="1" si="88"/>
        <v>#N/A</v>
      </c>
      <c r="DS15" s="131" t="e">
        <f t="shared" ca="1" si="89"/>
        <v>#N/A</v>
      </c>
      <c r="DT15" s="131" t="e">
        <f t="shared" ca="1" si="90"/>
        <v>#N/A</v>
      </c>
      <c r="DU15" s="131" t="e">
        <f t="shared" ca="1" si="99"/>
        <v>#N/A</v>
      </c>
      <c r="DV15" s="131" t="e">
        <f t="shared" si="91"/>
        <v>#N/A</v>
      </c>
      <c r="DW15" s="131" t="e">
        <f t="shared" si="100"/>
        <v>#N/A</v>
      </c>
      <c r="DX15" s="131" t="e">
        <f t="shared" ca="1" si="92"/>
        <v>#N/A</v>
      </c>
      <c r="DY15" s="131" t="e">
        <f t="shared" ca="1" si="93"/>
        <v>#N/A</v>
      </c>
      <c r="DZ15" s="131" t="e">
        <f t="shared" ca="1" si="94"/>
        <v>#N/A</v>
      </c>
      <c r="EA15" s="131" t="e">
        <f t="shared" ca="1" si="101"/>
        <v>#N/A</v>
      </c>
      <c r="EB15" s="250">
        <f t="shared" ca="1" si="64"/>
        <v>0</v>
      </c>
      <c r="EC15" s="131">
        <f t="shared" ca="1" si="65"/>
        <v>0</v>
      </c>
      <c r="ED15" s="131">
        <f t="shared" ca="1" si="66"/>
        <v>0</v>
      </c>
    </row>
    <row r="16" spans="1:135" ht="30" customHeight="1" x14ac:dyDescent="0.25">
      <c r="A16" s="128">
        <v>9</v>
      </c>
      <c r="B16" s="481"/>
      <c r="C16" s="113"/>
      <c r="D16" s="480"/>
      <c r="E16" s="480"/>
      <c r="F16" s="285"/>
      <c r="G16" s="284"/>
      <c r="H16" s="287"/>
      <c r="I16" s="521" t="str">
        <f t="shared" si="1"/>
        <v/>
      </c>
      <c r="J16" s="110"/>
      <c r="K16" s="110"/>
      <c r="L16" s="114"/>
      <c r="M16" s="498"/>
      <c r="N16" s="633"/>
      <c r="O16" s="111"/>
      <c r="P16" s="111"/>
      <c r="Q16" s="110"/>
      <c r="R16" s="288"/>
      <c r="S16" s="494" t="str">
        <f t="shared" si="2"/>
        <v/>
      </c>
      <c r="T16" s="288"/>
      <c r="U16" s="494" t="str">
        <f t="shared" si="3"/>
        <v/>
      </c>
      <c r="V16" s="110"/>
      <c r="W16" s="110"/>
      <c r="X16" s="546" t="str">
        <f t="shared" si="4"/>
        <v/>
      </c>
      <c r="Y16" s="110"/>
      <c r="Z16" s="110"/>
      <c r="AA16" s="112"/>
      <c r="AB16" s="112"/>
      <c r="AC16" s="639" t="str">
        <f t="shared" si="5"/>
        <v/>
      </c>
      <c r="AD16" s="112"/>
      <c r="AE16" s="496" t="str">
        <f t="shared" si="6"/>
        <v/>
      </c>
      <c r="AF16" s="482"/>
      <c r="AG16" s="533"/>
      <c r="AH16" s="534"/>
      <c r="AI16" s="538"/>
      <c r="AJ16" s="409"/>
      <c r="AK16" s="409"/>
      <c r="AL16" s="112"/>
      <c r="AM16" s="679"/>
      <c r="AN16" s="683">
        <f t="shared" si="67"/>
        <v>0</v>
      </c>
      <c r="AO16" s="681">
        <f t="shared" si="68"/>
        <v>0</v>
      </c>
      <c r="AP16" s="223">
        <f t="shared" si="7"/>
        <v>0</v>
      </c>
      <c r="AQ16" s="224">
        <f>IFERROR(IF($AR$3&lt;'Utility Admin'!$I$2,AR16,'Utility Admin'!$I$2/Inventory!$AR$3*AR16),0)</f>
        <v>0</v>
      </c>
      <c r="AR16" s="602">
        <f t="shared" si="8"/>
        <v>0</v>
      </c>
      <c r="AS16" s="604">
        <f t="shared" si="69"/>
        <v>0</v>
      </c>
      <c r="AT16" s="225"/>
      <c r="AU16" s="511" t="str">
        <f t="shared" si="10"/>
        <v/>
      </c>
      <c r="AV16" s="545" t="str">
        <f t="shared" si="11"/>
        <v/>
      </c>
      <c r="AW16" s="129" t="str">
        <f t="shared" si="70"/>
        <v/>
      </c>
      <c r="AX16" s="542" t="str">
        <f t="shared" si="12"/>
        <v/>
      </c>
      <c r="AY16" s="130" t="str">
        <f t="shared" si="71"/>
        <v/>
      </c>
      <c r="AZ16" s="399"/>
      <c r="BA16" s="417">
        <f t="shared" si="13"/>
        <v>0</v>
      </c>
      <c r="BB16" s="131">
        <f t="shared" si="14"/>
        <v>0</v>
      </c>
      <c r="BC16" s="131">
        <f t="shared" si="15"/>
        <v>0</v>
      </c>
      <c r="BD16" s="228" t="str">
        <f t="shared" si="72"/>
        <v/>
      </c>
      <c r="BE16" s="228">
        <f t="shared" si="73"/>
        <v>0</v>
      </c>
      <c r="BF16" s="761" t="str">
        <f>IF('Project Info'!$D$7="TX",INDEX(EFLH!$U$4:$U$31,MATCH(C16,TX_EFLHSanAntonio[Building Type],0),1),'Project Info'!$D$7&amp;"EquipmentType")</f>
        <v>EquipmentType</v>
      </c>
      <c r="BG16" s="229">
        <f t="shared" si="17"/>
        <v>0</v>
      </c>
      <c r="BH16" s="229">
        <f t="shared" si="18"/>
        <v>0</v>
      </c>
      <c r="BI16" s="229">
        <f t="shared" si="19"/>
        <v>0</v>
      </c>
      <c r="BJ16" s="230" t="e">
        <f>HLOOKUP(BI16,'Equipment Lookups'!$L$4:$AE$55,VLOOKUP(Inventory!BL16,'Equipment Lookups'!$J$5:$K$55,2,FALSE),TRUE)</f>
        <v>#N/A</v>
      </c>
      <c r="BK16" s="231" t="str" cm="1">
        <f t="array" ref="BK16">IF(L16="","",MAX(IF(L16="Unknown",ProgramYear-INDEX('Equipment Lookups'!$AF$5:$AF$38,MATCH(Inventory!BL16,'Equipment Lookups'!$J$5:$J$38,0)),_xlfn.NUMBERVALUE(RIGHT(L16,4))),INDEX(BaselineRow,1)))</f>
        <v/>
      </c>
      <c r="BL16" s="232" t="str">
        <f t="shared" si="74"/>
        <v/>
      </c>
      <c r="BM16" s="232" t="e">
        <f t="shared" si="20"/>
        <v>#N/A</v>
      </c>
      <c r="BN16" s="229">
        <f t="shared" si="95"/>
        <v>0</v>
      </c>
      <c r="BO16" s="229">
        <f t="shared" si="102"/>
        <v>0</v>
      </c>
      <c r="BP16" s="229">
        <f t="shared" si="96"/>
        <v>0</v>
      </c>
      <c r="BQ16" s="229">
        <f t="shared" si="75"/>
        <v>0</v>
      </c>
      <c r="BR16" s="229" t="e">
        <f>HLOOKUP(BP16,'Equipment Lookups'!$L$4:$AE$55,VLOOKUP(Inventory!BS16,'Equipment Lookups'!$J$5:$K$55,2,FALSE),TRUE)</f>
        <v>#N/A</v>
      </c>
      <c r="BS16" s="232" t="str">
        <f t="shared" si="76"/>
        <v/>
      </c>
      <c r="BT16" s="232" t="e">
        <f t="shared" si="22"/>
        <v>#N/A</v>
      </c>
      <c r="BU16" s="230" t="e">
        <f>INDEX('Equipment Lookups'!$AG$5:$AG$55,MATCH(Inventory!BS16,'Equipment Lookups'!$J$5:$J$55,0))</f>
        <v>#N/A</v>
      </c>
      <c r="BV16" s="568" t="str">
        <f ca="1">IFERROR(IF(AL16&lt;&gt;"",AL16,IF(State="TX",INDEX(TX_EFLHSanAntonio[[CFAir Cooled Chiller]:[CFPTRoom]],MATCH(Inventory!C16,TX_EFLHSanAntonio[Building Type],0),MATCH(BU16,EFLH!$G$2:$J$2,0)),VLOOKUP(C16,INDIRECT($BY$5),4,FALSE))),"-")</f>
        <v>-</v>
      </c>
      <c r="BW16" s="580" t="str">
        <f ca="1">IFERROR(IF(AJ16&lt;&gt;"",AJ16,IF(State="TX",INDEX(TX_EFLHSanAntonio[[EFLHcAir Cooled Chiller]:[EFLHcPTRoom]],MATCH(Inventory!C16,TX_EFLHSanAntonio[Building Type],0),MATCH(BU16,EFLH!$O$2:$R$2,0)),VLOOKUP(C16,INDIRECT($BY$5),2,FALSE))),"-")</f>
        <v>-</v>
      </c>
      <c r="BX16" s="581" t="str">
        <f ca="1">IFERROR(IF(AK16&lt;&gt;"",AK16,IF(State="TX",INDEX(TX_EFLHSanAntonio[[EFLHhDX]:[EFLHhPTRoom]],MATCH(Inventory!C16,TX_EFLHSanAntonio[Building Type],0),MATCH(BU16,EFLH!$S$2:$T$2,0)),VLOOKUP(C16,INDIRECT($BY$5),3,FALSE))),"-")</f>
        <v>-</v>
      </c>
      <c r="BY16" s="565">
        <f>IF(AM16&lt;&gt;"",AM16,IF(State="TX",INDEX(TX_EFLHSanAntonio[[NCPAir Cooled Chiller]:[NCPPTRoom]],MATCH(Inventory!C16,TX_EFLHSanAntonio[Building Type],0),MATCH(BU16,EFLH!$K$2:$N$2,0)),0))</f>
        <v>0</v>
      </c>
      <c r="BZ16" s="598" t="e">
        <f t="shared" ca="1" si="23"/>
        <v>#N/A</v>
      </c>
      <c r="CA16" s="599" t="e">
        <f t="shared" ca="1" si="24"/>
        <v>#N/A</v>
      </c>
      <c r="CB16" s="599" t="str">
        <f t="shared" ca="1" si="25"/>
        <v/>
      </c>
      <c r="CC16" s="599" t="e">
        <f t="shared" ca="1" si="26"/>
        <v>#N/A</v>
      </c>
      <c r="CD16" s="599" t="e">
        <f t="shared" ca="1" si="27"/>
        <v>#N/A</v>
      </c>
      <c r="CE16" s="599" t="str">
        <f t="shared" ca="1" si="28"/>
        <v/>
      </c>
      <c r="CF16" s="599" t="b">
        <f t="shared" si="29"/>
        <v>0</v>
      </c>
      <c r="CG16" s="599" t="e">
        <f t="shared" ca="1" si="30"/>
        <v>#N/A</v>
      </c>
      <c r="CH16" s="599" t="e">
        <f t="shared" ca="1" si="31"/>
        <v>#N/A</v>
      </c>
      <c r="CI16" s="599" t="str">
        <f t="shared" ca="1" si="32"/>
        <v/>
      </c>
      <c r="CJ16" s="599" t="str">
        <f t="shared" si="33"/>
        <v/>
      </c>
      <c r="CK16" s="599" t="str">
        <f t="shared" si="34"/>
        <v/>
      </c>
      <c r="CL16" s="600" t="str">
        <f t="shared" si="35"/>
        <v/>
      </c>
      <c r="CM16" s="228" t="e">
        <f t="shared" ca="1" si="36"/>
        <v>#N/A</v>
      </c>
      <c r="CN16" s="228" t="e">
        <f t="shared" ca="1" si="37"/>
        <v>#N/A</v>
      </c>
      <c r="CO16" s="232" t="e">
        <f t="shared" ca="1" si="38"/>
        <v>#N/A</v>
      </c>
      <c r="CP16" s="232">
        <f t="shared" ca="1" si="39"/>
        <v>0</v>
      </c>
      <c r="CQ16" s="228" t="e">
        <f t="shared" ca="1" si="40"/>
        <v>#N/A</v>
      </c>
      <c r="CR16" s="228" t="e">
        <f t="shared" ca="1" si="41"/>
        <v>#N/A</v>
      </c>
      <c r="CS16" s="232" t="e">
        <f t="shared" ca="1" si="42"/>
        <v>#N/A</v>
      </c>
      <c r="CT16" s="232" t="e">
        <f t="shared" ca="1" si="43"/>
        <v>#VALUE!</v>
      </c>
      <c r="CU16" s="228" t="e">
        <f t="shared" ca="1" si="44"/>
        <v>#N/A</v>
      </c>
      <c r="CV16" s="228" t="e">
        <f t="shared" ca="1" si="45"/>
        <v>#N/A</v>
      </c>
      <c r="CW16" s="232" t="e">
        <f t="shared" ca="1" si="46"/>
        <v>#N/A</v>
      </c>
      <c r="CX16" s="237" t="e">
        <f t="shared" ca="1" si="47"/>
        <v>#VALUE!</v>
      </c>
      <c r="CY16" s="233">
        <f t="shared" si="77"/>
        <v>0</v>
      </c>
      <c r="CZ16" s="233">
        <f t="shared" si="78"/>
        <v>0</v>
      </c>
      <c r="DA16" s="246">
        <f t="shared" si="79"/>
        <v>0</v>
      </c>
      <c r="DB16" s="246">
        <f t="shared" si="80"/>
        <v>0</v>
      </c>
      <c r="DC16" s="562" t="e">
        <f>INDEX('Utility Admin'!$P$2:$AD$2,1,MATCH($Q16,'Utility Admin'!$P$3:$AD$3,0))</f>
        <v>#N/A</v>
      </c>
      <c r="DD16" s="131" t="e">
        <f>INDEX('Utility Admin'!AE$2:AS$2,1,MATCH($Q16,'Utility Admin'!$P$3:$AD$3,0))</f>
        <v>#N/A</v>
      </c>
      <c r="DE16" s="239" t="e">
        <f>IF(kWhOverride="",INDEX('Utility Admin'!$AT$2:$BH$2,1,MATCH($Q16,'Utility Admin'!$P$3:$AD$3,0)),kWhOverride)</f>
        <v>#N/A</v>
      </c>
      <c r="DF16" s="230" t="str" cm="1">
        <f t="array" ref="DF16">IF(B16="New Construction","",IF(L16="","",MAX(ProgramYear-BK16,1,)))</f>
        <v/>
      </c>
      <c r="DG16" s="234" t="e">
        <f>INDEX('Equipment Lookups'!$AI$5:$BV$55,MATCH(Inventory!BL16,'Equipment Lookups'!$J$5:$J$55,0),MATCH(Inventory!DF16,'Equipment Lookups'!$AI$4:$BV$4,0))</f>
        <v>#N/A</v>
      </c>
      <c r="DH16" s="230" t="e">
        <f>INDEX('Equipment Lookups'!$AH$5:$AH$55,MATCH(Inventory!BS16,'Equipment Lookups'!$J$5:$J$55,0))</f>
        <v>#N/A</v>
      </c>
      <c r="DI16" s="131" t="e">
        <f t="shared" si="81"/>
        <v>#N/A</v>
      </c>
      <c r="DJ16" s="131" t="e">
        <f t="shared" ca="1" si="82"/>
        <v>#N/A</v>
      </c>
      <c r="DK16" s="131" t="e">
        <f t="shared" ca="1" si="83"/>
        <v>#N/A</v>
      </c>
      <c r="DL16" s="131" t="e">
        <f t="shared" ca="1" si="84"/>
        <v>#N/A</v>
      </c>
      <c r="DM16" s="131" t="e">
        <f t="shared" ca="1" si="85"/>
        <v>#N/A</v>
      </c>
      <c r="DN16" s="131" t="e">
        <f t="shared" ca="1" si="86"/>
        <v>#N/A</v>
      </c>
      <c r="DO16" s="131" t="e">
        <f t="shared" ca="1" si="87"/>
        <v>#N/A</v>
      </c>
      <c r="DP16" s="131" t="e">
        <f t="shared" ca="1" si="97"/>
        <v>#N/A</v>
      </c>
      <c r="DQ16" s="131" t="e">
        <f t="shared" ca="1" si="98"/>
        <v>#N/A</v>
      </c>
      <c r="DR16" s="131" t="e">
        <f t="shared" ca="1" si="88"/>
        <v>#N/A</v>
      </c>
      <c r="DS16" s="131" t="e">
        <f t="shared" ca="1" si="89"/>
        <v>#N/A</v>
      </c>
      <c r="DT16" s="131" t="e">
        <f t="shared" ca="1" si="90"/>
        <v>#N/A</v>
      </c>
      <c r="DU16" s="131" t="e">
        <f t="shared" ca="1" si="99"/>
        <v>#N/A</v>
      </c>
      <c r="DV16" s="131" t="e">
        <f t="shared" si="91"/>
        <v>#N/A</v>
      </c>
      <c r="DW16" s="131" t="e">
        <f t="shared" si="100"/>
        <v>#N/A</v>
      </c>
      <c r="DX16" s="131" t="e">
        <f t="shared" ca="1" si="92"/>
        <v>#N/A</v>
      </c>
      <c r="DY16" s="131" t="e">
        <f t="shared" ca="1" si="93"/>
        <v>#N/A</v>
      </c>
      <c r="DZ16" s="131" t="e">
        <f t="shared" ca="1" si="94"/>
        <v>#N/A</v>
      </c>
      <c r="EA16" s="131" t="e">
        <f t="shared" ca="1" si="101"/>
        <v>#N/A</v>
      </c>
      <c r="EB16" s="250">
        <f t="shared" ca="1" si="64"/>
        <v>0</v>
      </c>
      <c r="EC16" s="131">
        <f t="shared" ca="1" si="65"/>
        <v>0</v>
      </c>
      <c r="ED16" s="131">
        <f t="shared" ca="1" si="66"/>
        <v>0</v>
      </c>
    </row>
    <row r="17" spans="1:134" ht="30" customHeight="1" x14ac:dyDescent="0.25">
      <c r="A17" s="132">
        <v>10</v>
      </c>
      <c r="B17" s="481"/>
      <c r="C17" s="113"/>
      <c r="D17" s="480"/>
      <c r="E17" s="480"/>
      <c r="F17" s="285"/>
      <c r="G17" s="284"/>
      <c r="H17" s="287"/>
      <c r="I17" s="521" t="str">
        <f t="shared" si="1"/>
        <v/>
      </c>
      <c r="J17" s="110"/>
      <c r="K17" s="110"/>
      <c r="L17" s="114"/>
      <c r="M17" s="498"/>
      <c r="N17" s="633"/>
      <c r="O17" s="111"/>
      <c r="P17" s="111"/>
      <c r="Q17" s="110"/>
      <c r="R17" s="288"/>
      <c r="S17" s="494" t="str">
        <f t="shared" si="2"/>
        <v/>
      </c>
      <c r="T17" s="288"/>
      <c r="U17" s="494" t="str">
        <f t="shared" si="3"/>
        <v/>
      </c>
      <c r="V17" s="110"/>
      <c r="W17" s="110"/>
      <c r="X17" s="546" t="str">
        <f t="shared" si="4"/>
        <v/>
      </c>
      <c r="Y17" s="110"/>
      <c r="Z17" s="110"/>
      <c r="AA17" s="112"/>
      <c r="AB17" s="112"/>
      <c r="AC17" s="639" t="str">
        <f t="shared" si="5"/>
        <v/>
      </c>
      <c r="AD17" s="112"/>
      <c r="AE17" s="496" t="str">
        <f t="shared" si="6"/>
        <v/>
      </c>
      <c r="AF17" s="482"/>
      <c r="AG17" s="533"/>
      <c r="AH17" s="534"/>
      <c r="AI17" s="538"/>
      <c r="AJ17" s="409"/>
      <c r="AK17" s="409"/>
      <c r="AL17" s="112"/>
      <c r="AM17" s="679"/>
      <c r="AN17" s="683">
        <f t="shared" si="67"/>
        <v>0</v>
      </c>
      <c r="AO17" s="681">
        <f t="shared" si="68"/>
        <v>0</v>
      </c>
      <c r="AP17" s="223">
        <f t="shared" si="7"/>
        <v>0</v>
      </c>
      <c r="AQ17" s="224">
        <f>IFERROR(IF($AR$3&lt;'Utility Admin'!$I$2,AR17,'Utility Admin'!$I$2/Inventory!$AR$3*AR17),0)</f>
        <v>0</v>
      </c>
      <c r="AR17" s="602">
        <f t="shared" si="8"/>
        <v>0</v>
      </c>
      <c r="AS17" s="604">
        <f t="shared" si="69"/>
        <v>0</v>
      </c>
      <c r="AT17" s="225"/>
      <c r="AU17" s="511" t="str">
        <f t="shared" si="10"/>
        <v/>
      </c>
      <c r="AV17" s="545" t="str">
        <f t="shared" si="11"/>
        <v/>
      </c>
      <c r="AW17" s="129" t="str">
        <f t="shared" si="70"/>
        <v/>
      </c>
      <c r="AX17" s="542" t="str">
        <f t="shared" si="12"/>
        <v/>
      </c>
      <c r="AY17" s="130" t="str">
        <f t="shared" si="71"/>
        <v/>
      </c>
      <c r="AZ17" s="399"/>
      <c r="BA17" s="417">
        <f t="shared" si="13"/>
        <v>0</v>
      </c>
      <c r="BB17" s="131">
        <f t="shared" si="14"/>
        <v>0</v>
      </c>
      <c r="BC17" s="131">
        <f t="shared" si="15"/>
        <v>0</v>
      </c>
      <c r="BD17" s="228" t="str">
        <f t="shared" si="72"/>
        <v/>
      </c>
      <c r="BE17" s="228">
        <f t="shared" si="73"/>
        <v>0</v>
      </c>
      <c r="BF17" s="761" t="str">
        <f>IF('Project Info'!$D$7="TX",INDEX(EFLH!$U$4:$U$31,MATCH(C17,TX_EFLHSanAntonio[Building Type],0),1),'Project Info'!$D$7&amp;"EquipmentType")</f>
        <v>EquipmentType</v>
      </c>
      <c r="BG17" s="229">
        <f t="shared" si="17"/>
        <v>0</v>
      </c>
      <c r="BH17" s="229">
        <f t="shared" si="18"/>
        <v>0</v>
      </c>
      <c r="BI17" s="229">
        <f t="shared" si="19"/>
        <v>0</v>
      </c>
      <c r="BJ17" s="230" t="e">
        <f>HLOOKUP(BI17,'Equipment Lookups'!$L$4:$AE$55,VLOOKUP(Inventory!BL17,'Equipment Lookups'!$J$5:$K$55,2,FALSE),TRUE)</f>
        <v>#N/A</v>
      </c>
      <c r="BK17" s="231" t="str" cm="1">
        <f t="array" ref="BK17">IF(L17="","",MAX(IF(L17="Unknown",ProgramYear-INDEX('Equipment Lookups'!$AF$5:$AF$38,MATCH(Inventory!BL17,'Equipment Lookups'!$J$5:$J$38,0)),_xlfn.NUMBERVALUE(RIGHT(L17,4))),INDEX(BaselineRow,1)))</f>
        <v/>
      </c>
      <c r="BL17" s="232" t="str">
        <f t="shared" si="74"/>
        <v/>
      </c>
      <c r="BM17" s="232" t="e">
        <f t="shared" si="20"/>
        <v>#N/A</v>
      </c>
      <c r="BN17" s="229">
        <f t="shared" si="95"/>
        <v>0</v>
      </c>
      <c r="BO17" s="229">
        <f t="shared" si="102"/>
        <v>0</v>
      </c>
      <c r="BP17" s="229">
        <f t="shared" si="96"/>
        <v>0</v>
      </c>
      <c r="BQ17" s="229">
        <f t="shared" si="75"/>
        <v>0</v>
      </c>
      <c r="BR17" s="229" t="e">
        <f>HLOOKUP(BP17,'Equipment Lookups'!$L$4:$AE$55,VLOOKUP(Inventory!BS17,'Equipment Lookups'!$J$5:$K$55,2,FALSE),TRUE)</f>
        <v>#N/A</v>
      </c>
      <c r="BS17" s="232" t="str">
        <f t="shared" si="76"/>
        <v/>
      </c>
      <c r="BT17" s="232" t="e">
        <f t="shared" si="22"/>
        <v>#N/A</v>
      </c>
      <c r="BU17" s="230" t="e">
        <f>INDEX('Equipment Lookups'!$AG$5:$AG$55,MATCH(Inventory!BS17,'Equipment Lookups'!$J$5:$J$55,0))</f>
        <v>#N/A</v>
      </c>
      <c r="BV17" s="568" t="str">
        <f ca="1">IFERROR(IF(AL17&lt;&gt;"",AL17,IF(State="TX",INDEX(TX_EFLHSanAntonio[[CFAir Cooled Chiller]:[CFPTRoom]],MATCH(Inventory!C17,TX_EFLHSanAntonio[Building Type],0),MATCH(BU17,EFLH!$G$2:$J$2,0)),VLOOKUP(C17,INDIRECT($BY$5),4,FALSE))),"-")</f>
        <v>-</v>
      </c>
      <c r="BW17" s="580" t="str">
        <f ca="1">IFERROR(IF(AJ17&lt;&gt;"",AJ17,IF(State="TX",INDEX(TX_EFLHSanAntonio[[EFLHcAir Cooled Chiller]:[EFLHcPTRoom]],MATCH(Inventory!C17,TX_EFLHSanAntonio[Building Type],0),MATCH(BU17,EFLH!$O$2:$R$2,0)),VLOOKUP(C17,INDIRECT($BY$5),2,FALSE))),"-")</f>
        <v>-</v>
      </c>
      <c r="BX17" s="581" t="str">
        <f ca="1">IFERROR(IF(AK17&lt;&gt;"",AK17,IF(State="TX",INDEX(TX_EFLHSanAntonio[[EFLHhDX]:[EFLHhPTRoom]],MATCH(Inventory!C17,TX_EFLHSanAntonio[Building Type],0),MATCH(BU17,EFLH!$S$2:$T$2,0)),VLOOKUP(C17,INDIRECT($BY$5),3,FALSE))),"-")</f>
        <v>-</v>
      </c>
      <c r="BY17" s="565">
        <f>IF(AM17&lt;&gt;"",AM17,IF(State="TX",INDEX(TX_EFLHSanAntonio[[NCPAir Cooled Chiller]:[NCPPTRoom]],MATCH(Inventory!C17,TX_EFLHSanAntonio[Building Type],0),MATCH(BU17,EFLH!$K$2:$N$2,0)),0))</f>
        <v>0</v>
      </c>
      <c r="BZ17" s="598" t="e">
        <f t="shared" ca="1" si="23"/>
        <v>#N/A</v>
      </c>
      <c r="CA17" s="599" t="e">
        <f t="shared" ca="1" si="24"/>
        <v>#N/A</v>
      </c>
      <c r="CB17" s="599" t="str">
        <f t="shared" ca="1" si="25"/>
        <v/>
      </c>
      <c r="CC17" s="599" t="e">
        <f t="shared" ca="1" si="26"/>
        <v>#N/A</v>
      </c>
      <c r="CD17" s="599" t="e">
        <f t="shared" ca="1" si="27"/>
        <v>#N/A</v>
      </c>
      <c r="CE17" s="599" t="str">
        <f t="shared" ca="1" si="28"/>
        <v/>
      </c>
      <c r="CF17" s="599" t="b">
        <f t="shared" si="29"/>
        <v>0</v>
      </c>
      <c r="CG17" s="599" t="e">
        <f t="shared" ca="1" si="30"/>
        <v>#N/A</v>
      </c>
      <c r="CH17" s="599" t="e">
        <f t="shared" ca="1" si="31"/>
        <v>#N/A</v>
      </c>
      <c r="CI17" s="599" t="str">
        <f t="shared" ca="1" si="32"/>
        <v/>
      </c>
      <c r="CJ17" s="599" t="str">
        <f t="shared" si="33"/>
        <v/>
      </c>
      <c r="CK17" s="599" t="str">
        <f t="shared" si="34"/>
        <v/>
      </c>
      <c r="CL17" s="600" t="str">
        <f t="shared" si="35"/>
        <v/>
      </c>
      <c r="CM17" s="228" t="e">
        <f t="shared" ca="1" si="36"/>
        <v>#N/A</v>
      </c>
      <c r="CN17" s="228" t="e">
        <f t="shared" ca="1" si="37"/>
        <v>#N/A</v>
      </c>
      <c r="CO17" s="232" t="e">
        <f t="shared" ca="1" si="38"/>
        <v>#N/A</v>
      </c>
      <c r="CP17" s="232">
        <f t="shared" ca="1" si="39"/>
        <v>0</v>
      </c>
      <c r="CQ17" s="228" t="e">
        <f t="shared" ca="1" si="40"/>
        <v>#N/A</v>
      </c>
      <c r="CR17" s="228" t="e">
        <f t="shared" ca="1" si="41"/>
        <v>#N/A</v>
      </c>
      <c r="CS17" s="232" t="e">
        <f t="shared" ca="1" si="42"/>
        <v>#N/A</v>
      </c>
      <c r="CT17" s="232" t="e">
        <f t="shared" ca="1" si="43"/>
        <v>#VALUE!</v>
      </c>
      <c r="CU17" s="228" t="e">
        <f t="shared" ca="1" si="44"/>
        <v>#N/A</v>
      </c>
      <c r="CV17" s="228" t="e">
        <f t="shared" ca="1" si="45"/>
        <v>#N/A</v>
      </c>
      <c r="CW17" s="232" t="e">
        <f t="shared" ca="1" si="46"/>
        <v>#N/A</v>
      </c>
      <c r="CX17" s="237" t="e">
        <f t="shared" ca="1" si="47"/>
        <v>#VALUE!</v>
      </c>
      <c r="CY17" s="233">
        <f t="shared" si="77"/>
        <v>0</v>
      </c>
      <c r="CZ17" s="233">
        <f t="shared" si="78"/>
        <v>0</v>
      </c>
      <c r="DA17" s="246">
        <f t="shared" si="79"/>
        <v>0</v>
      </c>
      <c r="DB17" s="246">
        <f t="shared" si="80"/>
        <v>0</v>
      </c>
      <c r="DC17" s="562" t="e">
        <f>INDEX('Utility Admin'!$P$2:$AD$2,1,MATCH($Q17,'Utility Admin'!$P$3:$AD$3,0))</f>
        <v>#N/A</v>
      </c>
      <c r="DD17" s="131" t="e">
        <f>INDEX('Utility Admin'!AE$2:AS$2,1,MATCH($Q17,'Utility Admin'!$P$3:$AD$3,0))</f>
        <v>#N/A</v>
      </c>
      <c r="DE17" s="239" t="e">
        <f>IF(kWhOverride="",INDEX('Utility Admin'!$AT$2:$BH$2,1,MATCH($Q17,'Utility Admin'!$P$3:$AD$3,0)),kWhOverride)</f>
        <v>#N/A</v>
      </c>
      <c r="DF17" s="230" t="str" cm="1">
        <f t="array" ref="DF17">IF(B17="New Construction","",IF(L17="","",MAX(ProgramYear-BK17,1,)))</f>
        <v/>
      </c>
      <c r="DG17" s="234" t="e">
        <f>INDEX('Equipment Lookups'!$AI$5:$BV$55,MATCH(Inventory!BL17,'Equipment Lookups'!$J$5:$J$55,0),MATCH(Inventory!DF17,'Equipment Lookups'!$AI$4:$BV$4,0))</f>
        <v>#N/A</v>
      </c>
      <c r="DH17" s="230" t="e">
        <f>INDEX('Equipment Lookups'!$AH$5:$AH$55,MATCH(Inventory!BS17,'Equipment Lookups'!$J$5:$J$55,0))</f>
        <v>#N/A</v>
      </c>
      <c r="DI17" s="131" t="e">
        <f t="shared" si="81"/>
        <v>#N/A</v>
      </c>
      <c r="DJ17" s="131" t="e">
        <f t="shared" ca="1" si="82"/>
        <v>#N/A</v>
      </c>
      <c r="DK17" s="131" t="e">
        <f t="shared" ca="1" si="83"/>
        <v>#N/A</v>
      </c>
      <c r="DL17" s="131" t="e">
        <f t="shared" ca="1" si="84"/>
        <v>#N/A</v>
      </c>
      <c r="DM17" s="131" t="e">
        <f t="shared" ca="1" si="85"/>
        <v>#N/A</v>
      </c>
      <c r="DN17" s="131" t="e">
        <f t="shared" ca="1" si="86"/>
        <v>#N/A</v>
      </c>
      <c r="DO17" s="131" t="e">
        <f t="shared" ca="1" si="87"/>
        <v>#N/A</v>
      </c>
      <c r="DP17" s="131" t="e">
        <f t="shared" ca="1" si="97"/>
        <v>#N/A</v>
      </c>
      <c r="DQ17" s="131" t="e">
        <f t="shared" ca="1" si="98"/>
        <v>#N/A</v>
      </c>
      <c r="DR17" s="131" t="e">
        <f t="shared" ca="1" si="88"/>
        <v>#N/A</v>
      </c>
      <c r="DS17" s="131" t="e">
        <f t="shared" ca="1" si="89"/>
        <v>#N/A</v>
      </c>
      <c r="DT17" s="131" t="e">
        <f t="shared" ca="1" si="90"/>
        <v>#N/A</v>
      </c>
      <c r="DU17" s="131" t="e">
        <f t="shared" ca="1" si="99"/>
        <v>#N/A</v>
      </c>
      <c r="DV17" s="131" t="e">
        <f t="shared" si="91"/>
        <v>#N/A</v>
      </c>
      <c r="DW17" s="131" t="e">
        <f t="shared" si="100"/>
        <v>#N/A</v>
      </c>
      <c r="DX17" s="131" t="e">
        <f t="shared" ca="1" si="92"/>
        <v>#N/A</v>
      </c>
      <c r="DY17" s="131" t="e">
        <f t="shared" ca="1" si="93"/>
        <v>#N/A</v>
      </c>
      <c r="DZ17" s="131" t="e">
        <f t="shared" ca="1" si="94"/>
        <v>#N/A</v>
      </c>
      <c r="EA17" s="131" t="e">
        <f t="shared" ca="1" si="101"/>
        <v>#N/A</v>
      </c>
      <c r="EB17" s="250">
        <f t="shared" ca="1" si="64"/>
        <v>0</v>
      </c>
      <c r="EC17" s="131">
        <f t="shared" ca="1" si="65"/>
        <v>0</v>
      </c>
      <c r="ED17" s="131">
        <f t="shared" ca="1" si="66"/>
        <v>0</v>
      </c>
    </row>
    <row r="18" spans="1:134" ht="30" customHeight="1" x14ac:dyDescent="0.25">
      <c r="A18" s="128">
        <v>11</v>
      </c>
      <c r="B18" s="481"/>
      <c r="C18" s="113"/>
      <c r="D18" s="480"/>
      <c r="E18" s="480"/>
      <c r="F18" s="285"/>
      <c r="G18" s="284"/>
      <c r="H18" s="287"/>
      <c r="I18" s="521" t="str">
        <f t="shared" si="1"/>
        <v/>
      </c>
      <c r="J18" s="110"/>
      <c r="K18" s="110"/>
      <c r="L18" s="114"/>
      <c r="M18" s="498"/>
      <c r="N18" s="633"/>
      <c r="O18" s="111"/>
      <c r="P18" s="111"/>
      <c r="Q18" s="110"/>
      <c r="R18" s="288"/>
      <c r="S18" s="494" t="str">
        <f t="shared" si="2"/>
        <v/>
      </c>
      <c r="T18" s="288"/>
      <c r="U18" s="494" t="str">
        <f t="shared" si="3"/>
        <v/>
      </c>
      <c r="V18" s="110"/>
      <c r="W18" s="110"/>
      <c r="X18" s="546" t="str">
        <f t="shared" si="4"/>
        <v/>
      </c>
      <c r="Y18" s="110"/>
      <c r="Z18" s="110"/>
      <c r="AA18" s="112"/>
      <c r="AB18" s="112"/>
      <c r="AC18" s="639" t="str">
        <f t="shared" si="5"/>
        <v/>
      </c>
      <c r="AD18" s="112"/>
      <c r="AE18" s="496" t="str">
        <f t="shared" si="6"/>
        <v/>
      </c>
      <c r="AF18" s="482"/>
      <c r="AG18" s="533"/>
      <c r="AH18" s="534"/>
      <c r="AI18" s="538"/>
      <c r="AJ18" s="409"/>
      <c r="AK18" s="409"/>
      <c r="AL18" s="112"/>
      <c r="AM18" s="679"/>
      <c r="AN18" s="683">
        <f t="shared" si="67"/>
        <v>0</v>
      </c>
      <c r="AO18" s="681">
        <f t="shared" si="68"/>
        <v>0</v>
      </c>
      <c r="AP18" s="223">
        <f t="shared" si="7"/>
        <v>0</v>
      </c>
      <c r="AQ18" s="224">
        <f>IFERROR(IF($AR$3&lt;'Utility Admin'!$I$2,AR18,'Utility Admin'!$I$2/Inventory!$AR$3*AR18),0)</f>
        <v>0</v>
      </c>
      <c r="AR18" s="602">
        <f t="shared" si="8"/>
        <v>0</v>
      </c>
      <c r="AS18" s="604">
        <f t="shared" si="69"/>
        <v>0</v>
      </c>
      <c r="AT18" s="225"/>
      <c r="AU18" s="511" t="str">
        <f t="shared" si="10"/>
        <v/>
      </c>
      <c r="AV18" s="545" t="str">
        <f t="shared" si="11"/>
        <v/>
      </c>
      <c r="AW18" s="129" t="str">
        <f t="shared" si="70"/>
        <v/>
      </c>
      <c r="AX18" s="542" t="str">
        <f t="shared" si="12"/>
        <v/>
      </c>
      <c r="AY18" s="130" t="str">
        <f t="shared" si="71"/>
        <v/>
      </c>
      <c r="AZ18" s="399"/>
      <c r="BA18" s="417">
        <f t="shared" si="13"/>
        <v>0</v>
      </c>
      <c r="BB18" s="131">
        <f t="shared" si="14"/>
        <v>0</v>
      </c>
      <c r="BC18" s="131">
        <f t="shared" si="15"/>
        <v>0</v>
      </c>
      <c r="BD18" s="228" t="str">
        <f t="shared" si="72"/>
        <v/>
      </c>
      <c r="BE18" s="228">
        <f t="shared" si="73"/>
        <v>0</v>
      </c>
      <c r="BF18" s="761" t="str">
        <f>IF('Project Info'!$D$7="TX",INDEX(EFLH!$U$4:$U$31,MATCH(C18,TX_EFLHSanAntonio[Building Type],0),1),'Project Info'!$D$7&amp;"EquipmentType")</f>
        <v>EquipmentType</v>
      </c>
      <c r="BG18" s="229">
        <f t="shared" si="17"/>
        <v>0</v>
      </c>
      <c r="BH18" s="229">
        <f t="shared" si="18"/>
        <v>0</v>
      </c>
      <c r="BI18" s="229">
        <f t="shared" si="19"/>
        <v>0</v>
      </c>
      <c r="BJ18" s="230" t="e">
        <f>HLOOKUP(BI18,'Equipment Lookups'!$L$4:$AE$55,VLOOKUP(Inventory!BL18,'Equipment Lookups'!$J$5:$K$55,2,FALSE),TRUE)</f>
        <v>#N/A</v>
      </c>
      <c r="BK18" s="231" t="str" cm="1">
        <f t="array" ref="BK18">IF(L18="","",MAX(IF(L18="Unknown",ProgramYear-INDEX('Equipment Lookups'!$AF$5:$AF$38,MATCH(Inventory!BL18,'Equipment Lookups'!$J$5:$J$38,0)),_xlfn.NUMBERVALUE(RIGHT(L18,4))),INDEX(BaselineRow,1)))</f>
        <v/>
      </c>
      <c r="BL18" s="232" t="str">
        <f t="shared" si="74"/>
        <v/>
      </c>
      <c r="BM18" s="232" t="e">
        <f t="shared" si="20"/>
        <v>#N/A</v>
      </c>
      <c r="BN18" s="229">
        <f t="shared" si="95"/>
        <v>0</v>
      </c>
      <c r="BO18" s="229">
        <f t="shared" si="102"/>
        <v>0</v>
      </c>
      <c r="BP18" s="229">
        <f t="shared" si="96"/>
        <v>0</v>
      </c>
      <c r="BQ18" s="229">
        <f t="shared" si="75"/>
        <v>0</v>
      </c>
      <c r="BR18" s="229" t="e">
        <f>HLOOKUP(BP18,'Equipment Lookups'!$L$4:$AE$55,VLOOKUP(Inventory!BS18,'Equipment Lookups'!$J$5:$K$55,2,FALSE),TRUE)</f>
        <v>#N/A</v>
      </c>
      <c r="BS18" s="232" t="str">
        <f t="shared" si="76"/>
        <v/>
      </c>
      <c r="BT18" s="232" t="e">
        <f t="shared" si="22"/>
        <v>#N/A</v>
      </c>
      <c r="BU18" s="230" t="e">
        <f>INDEX('Equipment Lookups'!$AG$5:$AG$55,MATCH(Inventory!BS18,'Equipment Lookups'!$J$5:$J$55,0))</f>
        <v>#N/A</v>
      </c>
      <c r="BV18" s="568" t="str">
        <f ca="1">IFERROR(IF(AL18&lt;&gt;"",AL18,IF(State="TX",INDEX(TX_EFLHSanAntonio[[CFAir Cooled Chiller]:[CFPTRoom]],MATCH(Inventory!C18,TX_EFLHSanAntonio[Building Type],0),MATCH(BU18,EFLH!$G$2:$J$2,0)),VLOOKUP(C18,INDIRECT($BY$5),4,FALSE))),"-")</f>
        <v>-</v>
      </c>
      <c r="BW18" s="580" t="str">
        <f ca="1">IFERROR(IF(AJ18&lt;&gt;"",AJ18,IF(State="TX",INDEX(TX_EFLHSanAntonio[[EFLHcAir Cooled Chiller]:[EFLHcPTRoom]],MATCH(Inventory!C18,TX_EFLHSanAntonio[Building Type],0),MATCH(BU18,EFLH!$O$2:$R$2,0)),VLOOKUP(C18,INDIRECT($BY$5),2,FALSE))),"-")</f>
        <v>-</v>
      </c>
      <c r="BX18" s="581" t="str">
        <f ca="1">IFERROR(IF(AK18&lt;&gt;"",AK18,IF(State="TX",INDEX(TX_EFLHSanAntonio[[EFLHhDX]:[EFLHhPTRoom]],MATCH(Inventory!C18,TX_EFLHSanAntonio[Building Type],0),MATCH(BU18,EFLH!$S$2:$T$2,0)),VLOOKUP(C18,INDIRECT($BY$5),3,FALSE))),"-")</f>
        <v>-</v>
      </c>
      <c r="BY18" s="565">
        <f>IF(AM18&lt;&gt;"",AM18,IF(State="TX",INDEX(TX_EFLHSanAntonio[[NCPAir Cooled Chiller]:[NCPPTRoom]],MATCH(Inventory!C18,TX_EFLHSanAntonio[Building Type],0),MATCH(BU18,EFLH!$K$2:$N$2,0)),0))</f>
        <v>0</v>
      </c>
      <c r="BZ18" s="598" t="e">
        <f t="shared" ca="1" si="23"/>
        <v>#N/A</v>
      </c>
      <c r="CA18" s="599" t="e">
        <f t="shared" ca="1" si="24"/>
        <v>#N/A</v>
      </c>
      <c r="CB18" s="599" t="str">
        <f t="shared" ca="1" si="25"/>
        <v/>
      </c>
      <c r="CC18" s="599" t="e">
        <f t="shared" ca="1" si="26"/>
        <v>#N/A</v>
      </c>
      <c r="CD18" s="599" t="e">
        <f t="shared" ca="1" si="27"/>
        <v>#N/A</v>
      </c>
      <c r="CE18" s="599" t="str">
        <f t="shared" ca="1" si="28"/>
        <v/>
      </c>
      <c r="CF18" s="599" t="b">
        <f t="shared" si="29"/>
        <v>0</v>
      </c>
      <c r="CG18" s="599" t="e">
        <f t="shared" ca="1" si="30"/>
        <v>#N/A</v>
      </c>
      <c r="CH18" s="599" t="e">
        <f t="shared" ca="1" si="31"/>
        <v>#N/A</v>
      </c>
      <c r="CI18" s="599" t="str">
        <f t="shared" ca="1" si="32"/>
        <v/>
      </c>
      <c r="CJ18" s="599" t="str">
        <f t="shared" si="33"/>
        <v/>
      </c>
      <c r="CK18" s="599" t="str">
        <f t="shared" si="34"/>
        <v/>
      </c>
      <c r="CL18" s="600" t="str">
        <f t="shared" si="35"/>
        <v/>
      </c>
      <c r="CM18" s="228" t="e">
        <f t="shared" ca="1" si="36"/>
        <v>#N/A</v>
      </c>
      <c r="CN18" s="228" t="e">
        <f t="shared" ca="1" si="37"/>
        <v>#N/A</v>
      </c>
      <c r="CO18" s="232" t="e">
        <f t="shared" ca="1" si="38"/>
        <v>#N/A</v>
      </c>
      <c r="CP18" s="232">
        <f t="shared" ca="1" si="39"/>
        <v>0</v>
      </c>
      <c r="CQ18" s="228" t="e">
        <f t="shared" ca="1" si="40"/>
        <v>#N/A</v>
      </c>
      <c r="CR18" s="228" t="e">
        <f t="shared" ca="1" si="41"/>
        <v>#N/A</v>
      </c>
      <c r="CS18" s="232" t="e">
        <f t="shared" ca="1" si="42"/>
        <v>#N/A</v>
      </c>
      <c r="CT18" s="232" t="e">
        <f t="shared" ca="1" si="43"/>
        <v>#VALUE!</v>
      </c>
      <c r="CU18" s="228" t="e">
        <f t="shared" ca="1" si="44"/>
        <v>#N/A</v>
      </c>
      <c r="CV18" s="228" t="e">
        <f t="shared" ca="1" si="45"/>
        <v>#N/A</v>
      </c>
      <c r="CW18" s="232" t="e">
        <f t="shared" ca="1" si="46"/>
        <v>#N/A</v>
      </c>
      <c r="CX18" s="237" t="e">
        <f t="shared" ca="1" si="47"/>
        <v>#VALUE!</v>
      </c>
      <c r="CY18" s="233">
        <f t="shared" si="77"/>
        <v>0</v>
      </c>
      <c r="CZ18" s="233">
        <f t="shared" si="78"/>
        <v>0</v>
      </c>
      <c r="DA18" s="246">
        <f t="shared" si="79"/>
        <v>0</v>
      </c>
      <c r="DB18" s="246">
        <f t="shared" si="80"/>
        <v>0</v>
      </c>
      <c r="DC18" s="562" t="e">
        <f>INDEX('Utility Admin'!$P$2:$AD$2,1,MATCH($Q18,'Utility Admin'!$P$3:$AD$3,0))</f>
        <v>#N/A</v>
      </c>
      <c r="DD18" s="131" t="e">
        <f>INDEX('Utility Admin'!AE$2:AS$2,1,MATCH($Q18,'Utility Admin'!$P$3:$AD$3,0))</f>
        <v>#N/A</v>
      </c>
      <c r="DE18" s="239" t="e">
        <f>IF(kWhOverride="",INDEX('Utility Admin'!$AT$2:$BH$2,1,MATCH($Q18,'Utility Admin'!$P$3:$AD$3,0)),kWhOverride)</f>
        <v>#N/A</v>
      </c>
      <c r="DF18" s="230" t="str" cm="1">
        <f t="array" ref="DF18">IF(B18="New Construction","",IF(L18="","",MAX(ProgramYear-BK18,1,)))</f>
        <v/>
      </c>
      <c r="DG18" s="234" t="e">
        <f>INDEX('Equipment Lookups'!$AI$5:$BV$55,MATCH(Inventory!BL18,'Equipment Lookups'!$J$5:$J$55,0),MATCH(Inventory!DF18,'Equipment Lookups'!$AI$4:$BV$4,0))</f>
        <v>#N/A</v>
      </c>
      <c r="DH18" s="230" t="e">
        <f>INDEX('Equipment Lookups'!$AH$5:$AH$55,MATCH(Inventory!BS18,'Equipment Lookups'!$J$5:$J$55,0))</f>
        <v>#N/A</v>
      </c>
      <c r="DI18" s="131" t="e">
        <f t="shared" si="81"/>
        <v>#N/A</v>
      </c>
      <c r="DJ18" s="131" t="e">
        <f t="shared" ca="1" si="82"/>
        <v>#N/A</v>
      </c>
      <c r="DK18" s="131" t="e">
        <f t="shared" ca="1" si="83"/>
        <v>#N/A</v>
      </c>
      <c r="DL18" s="131" t="e">
        <f t="shared" ca="1" si="84"/>
        <v>#N/A</v>
      </c>
      <c r="DM18" s="131" t="e">
        <f t="shared" ca="1" si="85"/>
        <v>#N/A</v>
      </c>
      <c r="DN18" s="131" t="e">
        <f t="shared" ca="1" si="86"/>
        <v>#N/A</v>
      </c>
      <c r="DO18" s="131" t="e">
        <f t="shared" ca="1" si="87"/>
        <v>#N/A</v>
      </c>
      <c r="DP18" s="131" t="e">
        <f t="shared" ca="1" si="97"/>
        <v>#N/A</v>
      </c>
      <c r="DQ18" s="131" t="e">
        <f t="shared" ca="1" si="98"/>
        <v>#N/A</v>
      </c>
      <c r="DR18" s="131" t="e">
        <f t="shared" ca="1" si="88"/>
        <v>#N/A</v>
      </c>
      <c r="DS18" s="131" t="e">
        <f t="shared" ca="1" si="89"/>
        <v>#N/A</v>
      </c>
      <c r="DT18" s="131" t="e">
        <f t="shared" ca="1" si="90"/>
        <v>#N/A</v>
      </c>
      <c r="DU18" s="131" t="e">
        <f t="shared" ca="1" si="99"/>
        <v>#N/A</v>
      </c>
      <c r="DV18" s="131" t="e">
        <f t="shared" si="91"/>
        <v>#N/A</v>
      </c>
      <c r="DW18" s="131" t="e">
        <f t="shared" si="100"/>
        <v>#N/A</v>
      </c>
      <c r="DX18" s="131" t="e">
        <f t="shared" ca="1" si="92"/>
        <v>#N/A</v>
      </c>
      <c r="DY18" s="131" t="e">
        <f t="shared" ca="1" si="93"/>
        <v>#N/A</v>
      </c>
      <c r="DZ18" s="131" t="e">
        <f t="shared" ca="1" si="94"/>
        <v>#N/A</v>
      </c>
      <c r="EA18" s="131" t="e">
        <f t="shared" ca="1" si="101"/>
        <v>#N/A</v>
      </c>
      <c r="EB18" s="250">
        <f t="shared" ca="1" si="64"/>
        <v>0</v>
      </c>
      <c r="EC18" s="131">
        <f t="shared" ca="1" si="65"/>
        <v>0</v>
      </c>
      <c r="ED18" s="131">
        <f t="shared" ca="1" si="66"/>
        <v>0</v>
      </c>
    </row>
    <row r="19" spans="1:134" ht="30" customHeight="1" x14ac:dyDescent="0.25">
      <c r="A19" s="132">
        <v>12</v>
      </c>
      <c r="B19" s="481"/>
      <c r="C19" s="113"/>
      <c r="D19" s="480"/>
      <c r="E19" s="480"/>
      <c r="F19" s="285"/>
      <c r="G19" s="284"/>
      <c r="H19" s="287"/>
      <c r="I19" s="521" t="str">
        <f t="shared" si="1"/>
        <v/>
      </c>
      <c r="J19" s="110"/>
      <c r="K19" s="110"/>
      <c r="L19" s="114"/>
      <c r="M19" s="498"/>
      <c r="N19" s="633"/>
      <c r="O19" s="111"/>
      <c r="P19" s="111"/>
      <c r="Q19" s="110"/>
      <c r="R19" s="288"/>
      <c r="S19" s="494" t="str">
        <f t="shared" si="2"/>
        <v/>
      </c>
      <c r="T19" s="288"/>
      <c r="U19" s="494" t="str">
        <f t="shared" si="3"/>
        <v/>
      </c>
      <c r="V19" s="110"/>
      <c r="W19" s="110"/>
      <c r="X19" s="546" t="str">
        <f t="shared" si="4"/>
        <v/>
      </c>
      <c r="Y19" s="110"/>
      <c r="Z19" s="110"/>
      <c r="AA19" s="112"/>
      <c r="AB19" s="112"/>
      <c r="AC19" s="639" t="str">
        <f t="shared" si="5"/>
        <v/>
      </c>
      <c r="AD19" s="112"/>
      <c r="AE19" s="496" t="str">
        <f t="shared" si="6"/>
        <v/>
      </c>
      <c r="AF19" s="482"/>
      <c r="AG19" s="533"/>
      <c r="AH19" s="534"/>
      <c r="AI19" s="538"/>
      <c r="AJ19" s="409"/>
      <c r="AK19" s="409"/>
      <c r="AL19" s="112"/>
      <c r="AM19" s="679"/>
      <c r="AN19" s="683">
        <f t="shared" si="67"/>
        <v>0</v>
      </c>
      <c r="AO19" s="681">
        <f t="shared" si="68"/>
        <v>0</v>
      </c>
      <c r="AP19" s="223">
        <f t="shared" si="7"/>
        <v>0</v>
      </c>
      <c r="AQ19" s="224">
        <f>IFERROR(IF($AR$3&lt;'Utility Admin'!$I$2,AR19,'Utility Admin'!$I$2/Inventory!$AR$3*AR19),0)</f>
        <v>0</v>
      </c>
      <c r="AR19" s="602">
        <f t="shared" si="8"/>
        <v>0</v>
      </c>
      <c r="AS19" s="604">
        <f t="shared" si="69"/>
        <v>0</v>
      </c>
      <c r="AT19" s="225"/>
      <c r="AU19" s="511" t="str">
        <f t="shared" si="10"/>
        <v/>
      </c>
      <c r="AV19" s="545" t="str">
        <f t="shared" si="11"/>
        <v/>
      </c>
      <c r="AW19" s="129" t="str">
        <f t="shared" si="70"/>
        <v/>
      </c>
      <c r="AX19" s="542" t="str">
        <f t="shared" si="12"/>
        <v/>
      </c>
      <c r="AY19" s="130" t="str">
        <f t="shared" si="71"/>
        <v/>
      </c>
      <c r="AZ19" s="399"/>
      <c r="BA19" s="417">
        <f t="shared" si="13"/>
        <v>0</v>
      </c>
      <c r="BB19" s="131">
        <f t="shared" si="14"/>
        <v>0</v>
      </c>
      <c r="BC19" s="131">
        <f t="shared" si="15"/>
        <v>0</v>
      </c>
      <c r="BD19" s="228" t="str">
        <f t="shared" si="72"/>
        <v/>
      </c>
      <c r="BE19" s="228">
        <f t="shared" si="73"/>
        <v>0</v>
      </c>
      <c r="BF19" s="761" t="str">
        <f>IF('Project Info'!$D$7="TX",INDEX(EFLH!$U$4:$U$31,MATCH(C19,TX_EFLHSanAntonio[Building Type],0),1),'Project Info'!$D$7&amp;"EquipmentType")</f>
        <v>EquipmentType</v>
      </c>
      <c r="BG19" s="229">
        <f t="shared" si="17"/>
        <v>0</v>
      </c>
      <c r="BH19" s="229">
        <f t="shared" si="18"/>
        <v>0</v>
      </c>
      <c r="BI19" s="229">
        <f t="shared" si="19"/>
        <v>0</v>
      </c>
      <c r="BJ19" s="230" t="e">
        <f>HLOOKUP(BI19,'Equipment Lookups'!$L$4:$AE$55,VLOOKUP(Inventory!BL19,'Equipment Lookups'!$J$5:$K$55,2,FALSE),TRUE)</f>
        <v>#N/A</v>
      </c>
      <c r="BK19" s="231" t="str" cm="1">
        <f t="array" ref="BK19">IF(L19="","",MAX(IF(L19="Unknown",ProgramYear-INDEX('Equipment Lookups'!$AF$5:$AF$38,MATCH(Inventory!BL19,'Equipment Lookups'!$J$5:$J$38,0)),_xlfn.NUMBERVALUE(RIGHT(L19,4))),INDEX(BaselineRow,1)))</f>
        <v/>
      </c>
      <c r="BL19" s="232" t="str">
        <f t="shared" si="74"/>
        <v/>
      </c>
      <c r="BM19" s="232" t="e">
        <f t="shared" si="20"/>
        <v>#N/A</v>
      </c>
      <c r="BN19" s="229">
        <f t="shared" si="95"/>
        <v>0</v>
      </c>
      <c r="BO19" s="229">
        <f t="shared" si="102"/>
        <v>0</v>
      </c>
      <c r="BP19" s="229">
        <f t="shared" si="96"/>
        <v>0</v>
      </c>
      <c r="BQ19" s="229">
        <f t="shared" si="75"/>
        <v>0</v>
      </c>
      <c r="BR19" s="229" t="e">
        <f>HLOOKUP(BP19,'Equipment Lookups'!$L$4:$AE$55,VLOOKUP(Inventory!BS19,'Equipment Lookups'!$J$5:$K$55,2,FALSE),TRUE)</f>
        <v>#N/A</v>
      </c>
      <c r="BS19" s="232" t="str">
        <f t="shared" si="76"/>
        <v/>
      </c>
      <c r="BT19" s="232" t="e">
        <f t="shared" si="22"/>
        <v>#N/A</v>
      </c>
      <c r="BU19" s="230" t="e">
        <f>INDEX('Equipment Lookups'!$AG$5:$AG$55,MATCH(Inventory!BS19,'Equipment Lookups'!$J$5:$J$55,0))</f>
        <v>#N/A</v>
      </c>
      <c r="BV19" s="568" t="str">
        <f ca="1">IFERROR(IF(AL19&lt;&gt;"",AL19,IF(State="TX",INDEX(TX_EFLHSanAntonio[[CFAir Cooled Chiller]:[CFPTRoom]],MATCH(Inventory!C19,TX_EFLHSanAntonio[Building Type],0),MATCH(BU19,EFLH!$G$2:$J$2,0)),VLOOKUP(C19,INDIRECT($BY$5),4,FALSE))),"-")</f>
        <v>-</v>
      </c>
      <c r="BW19" s="580" t="str">
        <f ca="1">IFERROR(IF(AJ19&lt;&gt;"",AJ19,IF(State="TX",INDEX(TX_EFLHSanAntonio[[EFLHcAir Cooled Chiller]:[EFLHcPTRoom]],MATCH(Inventory!C19,TX_EFLHSanAntonio[Building Type],0),MATCH(BU19,EFLH!$O$2:$R$2,0)),VLOOKUP(C19,INDIRECT($BY$5),2,FALSE))),"-")</f>
        <v>-</v>
      </c>
      <c r="BX19" s="581" t="str">
        <f ca="1">IFERROR(IF(AK19&lt;&gt;"",AK19,IF(State="TX",INDEX(TX_EFLHSanAntonio[[EFLHhDX]:[EFLHhPTRoom]],MATCH(Inventory!C19,TX_EFLHSanAntonio[Building Type],0),MATCH(BU19,EFLH!$S$2:$T$2,0)),VLOOKUP(C19,INDIRECT($BY$5),3,FALSE))),"-")</f>
        <v>-</v>
      </c>
      <c r="BY19" s="565">
        <f>IF(AM19&lt;&gt;"",AM19,IF(State="TX",INDEX(TX_EFLHSanAntonio[[NCPAir Cooled Chiller]:[NCPPTRoom]],MATCH(Inventory!C19,TX_EFLHSanAntonio[Building Type],0),MATCH(BU19,EFLH!$K$2:$N$2,0)),0))</f>
        <v>0</v>
      </c>
      <c r="BZ19" s="598" t="e">
        <f t="shared" ca="1" si="23"/>
        <v>#N/A</v>
      </c>
      <c r="CA19" s="599" t="e">
        <f t="shared" ca="1" si="24"/>
        <v>#N/A</v>
      </c>
      <c r="CB19" s="599" t="str">
        <f t="shared" ca="1" si="25"/>
        <v/>
      </c>
      <c r="CC19" s="599" t="e">
        <f t="shared" ca="1" si="26"/>
        <v>#N/A</v>
      </c>
      <c r="CD19" s="599" t="e">
        <f t="shared" ca="1" si="27"/>
        <v>#N/A</v>
      </c>
      <c r="CE19" s="599" t="str">
        <f t="shared" ca="1" si="28"/>
        <v/>
      </c>
      <c r="CF19" s="599" t="b">
        <f t="shared" si="29"/>
        <v>0</v>
      </c>
      <c r="CG19" s="599" t="e">
        <f t="shared" ca="1" si="30"/>
        <v>#N/A</v>
      </c>
      <c r="CH19" s="599" t="e">
        <f t="shared" ca="1" si="31"/>
        <v>#N/A</v>
      </c>
      <c r="CI19" s="599" t="str">
        <f t="shared" ca="1" si="32"/>
        <v/>
      </c>
      <c r="CJ19" s="599" t="str">
        <f t="shared" si="33"/>
        <v/>
      </c>
      <c r="CK19" s="599" t="str">
        <f t="shared" si="34"/>
        <v/>
      </c>
      <c r="CL19" s="600" t="str">
        <f t="shared" si="35"/>
        <v/>
      </c>
      <c r="CM19" s="228" t="e">
        <f t="shared" ca="1" si="36"/>
        <v>#N/A</v>
      </c>
      <c r="CN19" s="228" t="e">
        <f t="shared" ca="1" si="37"/>
        <v>#N/A</v>
      </c>
      <c r="CO19" s="232" t="e">
        <f t="shared" ca="1" si="38"/>
        <v>#N/A</v>
      </c>
      <c r="CP19" s="232">
        <f t="shared" ca="1" si="39"/>
        <v>0</v>
      </c>
      <c r="CQ19" s="228" t="e">
        <f t="shared" ca="1" si="40"/>
        <v>#N/A</v>
      </c>
      <c r="CR19" s="228" t="e">
        <f t="shared" ca="1" si="41"/>
        <v>#N/A</v>
      </c>
      <c r="CS19" s="232" t="e">
        <f t="shared" ca="1" si="42"/>
        <v>#N/A</v>
      </c>
      <c r="CT19" s="232" t="e">
        <f t="shared" ca="1" si="43"/>
        <v>#VALUE!</v>
      </c>
      <c r="CU19" s="228" t="e">
        <f t="shared" ca="1" si="44"/>
        <v>#N/A</v>
      </c>
      <c r="CV19" s="228" t="e">
        <f t="shared" ca="1" si="45"/>
        <v>#N/A</v>
      </c>
      <c r="CW19" s="232" t="e">
        <f t="shared" ca="1" si="46"/>
        <v>#N/A</v>
      </c>
      <c r="CX19" s="237" t="e">
        <f t="shared" ca="1" si="47"/>
        <v>#VALUE!</v>
      </c>
      <c r="CY19" s="233">
        <f t="shared" si="77"/>
        <v>0</v>
      </c>
      <c r="CZ19" s="233">
        <f t="shared" si="78"/>
        <v>0</v>
      </c>
      <c r="DA19" s="246">
        <f t="shared" si="79"/>
        <v>0</v>
      </c>
      <c r="DB19" s="246">
        <f t="shared" si="80"/>
        <v>0</v>
      </c>
      <c r="DC19" s="562" t="e">
        <f>INDEX('Utility Admin'!$P$2:$AD$2,1,MATCH($Q19,'Utility Admin'!$P$3:$AD$3,0))</f>
        <v>#N/A</v>
      </c>
      <c r="DD19" s="131" t="e">
        <f>INDEX('Utility Admin'!AE$2:AS$2,1,MATCH($Q19,'Utility Admin'!$P$3:$AD$3,0))</f>
        <v>#N/A</v>
      </c>
      <c r="DE19" s="239" t="e">
        <f>IF(kWhOverride="",INDEX('Utility Admin'!$AT$2:$BH$2,1,MATCH($Q19,'Utility Admin'!$P$3:$AD$3,0)),kWhOverride)</f>
        <v>#N/A</v>
      </c>
      <c r="DF19" s="230" t="str" cm="1">
        <f t="array" ref="DF19">IF(B19="New Construction","",IF(L19="","",MAX(ProgramYear-BK19,1,)))</f>
        <v/>
      </c>
      <c r="DG19" s="234" t="e">
        <f>INDEX('Equipment Lookups'!$AI$5:$BV$55,MATCH(Inventory!BL19,'Equipment Lookups'!$J$5:$J$55,0),MATCH(Inventory!DF19,'Equipment Lookups'!$AI$4:$BV$4,0))</f>
        <v>#N/A</v>
      </c>
      <c r="DH19" s="230" t="e">
        <f>INDEX('Equipment Lookups'!$AH$5:$AH$55,MATCH(Inventory!BS19,'Equipment Lookups'!$J$5:$J$55,0))</f>
        <v>#N/A</v>
      </c>
      <c r="DI19" s="131" t="e">
        <f t="shared" si="81"/>
        <v>#N/A</v>
      </c>
      <c r="DJ19" s="131" t="e">
        <f t="shared" ca="1" si="82"/>
        <v>#N/A</v>
      </c>
      <c r="DK19" s="131" t="e">
        <f t="shared" ca="1" si="83"/>
        <v>#N/A</v>
      </c>
      <c r="DL19" s="131" t="e">
        <f t="shared" ca="1" si="84"/>
        <v>#N/A</v>
      </c>
      <c r="DM19" s="131" t="e">
        <f t="shared" ca="1" si="85"/>
        <v>#N/A</v>
      </c>
      <c r="DN19" s="131" t="e">
        <f t="shared" ca="1" si="86"/>
        <v>#N/A</v>
      </c>
      <c r="DO19" s="131" t="e">
        <f t="shared" ca="1" si="87"/>
        <v>#N/A</v>
      </c>
      <c r="DP19" s="131" t="e">
        <f t="shared" ca="1" si="97"/>
        <v>#N/A</v>
      </c>
      <c r="DQ19" s="131" t="e">
        <f t="shared" ca="1" si="98"/>
        <v>#N/A</v>
      </c>
      <c r="DR19" s="131" t="e">
        <f t="shared" ca="1" si="88"/>
        <v>#N/A</v>
      </c>
      <c r="DS19" s="131" t="e">
        <f t="shared" ca="1" si="89"/>
        <v>#N/A</v>
      </c>
      <c r="DT19" s="131" t="e">
        <f t="shared" ca="1" si="90"/>
        <v>#N/A</v>
      </c>
      <c r="DU19" s="131" t="e">
        <f t="shared" ca="1" si="99"/>
        <v>#N/A</v>
      </c>
      <c r="DV19" s="131" t="e">
        <f t="shared" si="91"/>
        <v>#N/A</v>
      </c>
      <c r="DW19" s="131" t="e">
        <f t="shared" si="100"/>
        <v>#N/A</v>
      </c>
      <c r="DX19" s="131" t="e">
        <f t="shared" ca="1" si="92"/>
        <v>#N/A</v>
      </c>
      <c r="DY19" s="131" t="e">
        <f t="shared" ca="1" si="93"/>
        <v>#N/A</v>
      </c>
      <c r="DZ19" s="131" t="e">
        <f t="shared" ca="1" si="94"/>
        <v>#N/A</v>
      </c>
      <c r="EA19" s="131" t="e">
        <f t="shared" ca="1" si="101"/>
        <v>#N/A</v>
      </c>
      <c r="EB19" s="250">
        <f t="shared" ca="1" si="64"/>
        <v>0</v>
      </c>
      <c r="EC19" s="131">
        <f t="shared" ca="1" si="65"/>
        <v>0</v>
      </c>
      <c r="ED19" s="131">
        <f t="shared" ca="1" si="66"/>
        <v>0</v>
      </c>
    </row>
    <row r="20" spans="1:134" ht="30" customHeight="1" x14ac:dyDescent="0.25">
      <c r="A20" s="128">
        <v>13</v>
      </c>
      <c r="B20" s="481"/>
      <c r="C20" s="113"/>
      <c r="D20" s="480"/>
      <c r="E20" s="480"/>
      <c r="F20" s="285"/>
      <c r="G20" s="284"/>
      <c r="H20" s="287"/>
      <c r="I20" s="521" t="str">
        <f t="shared" si="1"/>
        <v/>
      </c>
      <c r="J20" s="110"/>
      <c r="K20" s="110"/>
      <c r="L20" s="114"/>
      <c r="M20" s="498"/>
      <c r="N20" s="633"/>
      <c r="O20" s="111"/>
      <c r="P20" s="111"/>
      <c r="Q20" s="110"/>
      <c r="R20" s="288"/>
      <c r="S20" s="494" t="str">
        <f t="shared" si="2"/>
        <v/>
      </c>
      <c r="T20" s="288"/>
      <c r="U20" s="494" t="str">
        <f t="shared" si="3"/>
        <v/>
      </c>
      <c r="V20" s="110"/>
      <c r="W20" s="110"/>
      <c r="X20" s="546" t="str">
        <f t="shared" si="4"/>
        <v/>
      </c>
      <c r="Y20" s="110"/>
      <c r="Z20" s="110"/>
      <c r="AA20" s="112"/>
      <c r="AB20" s="112"/>
      <c r="AC20" s="639" t="str">
        <f t="shared" si="5"/>
        <v/>
      </c>
      <c r="AD20" s="112"/>
      <c r="AE20" s="496" t="str">
        <f t="shared" si="6"/>
        <v/>
      </c>
      <c r="AF20" s="482"/>
      <c r="AG20" s="533"/>
      <c r="AH20" s="534"/>
      <c r="AI20" s="538"/>
      <c r="AJ20" s="409"/>
      <c r="AK20" s="409"/>
      <c r="AL20" s="112"/>
      <c r="AM20" s="679"/>
      <c r="AN20" s="683">
        <f t="shared" si="67"/>
        <v>0</v>
      </c>
      <c r="AO20" s="681">
        <f t="shared" si="68"/>
        <v>0</v>
      </c>
      <c r="AP20" s="223">
        <f t="shared" si="7"/>
        <v>0</v>
      </c>
      <c r="AQ20" s="224">
        <f>IFERROR(IF($AR$3&lt;'Utility Admin'!$I$2,AR20,'Utility Admin'!$I$2/Inventory!$AR$3*AR20),0)</f>
        <v>0</v>
      </c>
      <c r="AR20" s="602">
        <f t="shared" si="8"/>
        <v>0</v>
      </c>
      <c r="AS20" s="604">
        <f t="shared" si="69"/>
        <v>0</v>
      </c>
      <c r="AT20" s="225"/>
      <c r="AU20" s="511" t="str">
        <f t="shared" si="10"/>
        <v/>
      </c>
      <c r="AV20" s="545" t="str">
        <f t="shared" si="11"/>
        <v/>
      </c>
      <c r="AW20" s="129" t="str">
        <f t="shared" si="70"/>
        <v/>
      </c>
      <c r="AX20" s="542" t="str">
        <f t="shared" si="12"/>
        <v/>
      </c>
      <c r="AY20" s="130" t="str">
        <f t="shared" si="71"/>
        <v/>
      </c>
      <c r="AZ20" s="399"/>
      <c r="BA20" s="417">
        <f t="shared" si="13"/>
        <v>0</v>
      </c>
      <c r="BB20" s="131">
        <f t="shared" si="14"/>
        <v>0</v>
      </c>
      <c r="BC20" s="131">
        <f t="shared" si="15"/>
        <v>0</v>
      </c>
      <c r="BD20" s="228" t="str">
        <f t="shared" si="72"/>
        <v/>
      </c>
      <c r="BE20" s="228">
        <f t="shared" si="73"/>
        <v>0</v>
      </c>
      <c r="BF20" s="761" t="str">
        <f>IF('Project Info'!$D$7="TX",INDEX(EFLH!$U$4:$U$31,MATCH(C20,TX_EFLHSanAntonio[Building Type],0),1),'Project Info'!$D$7&amp;"EquipmentType")</f>
        <v>EquipmentType</v>
      </c>
      <c r="BG20" s="229">
        <f t="shared" si="17"/>
        <v>0</v>
      </c>
      <c r="BH20" s="229">
        <f t="shared" si="18"/>
        <v>0</v>
      </c>
      <c r="BI20" s="229">
        <f t="shared" si="19"/>
        <v>0</v>
      </c>
      <c r="BJ20" s="230" t="e">
        <f>HLOOKUP(BI20,'Equipment Lookups'!$L$4:$AE$55,VLOOKUP(Inventory!BL20,'Equipment Lookups'!$J$5:$K$55,2,FALSE),TRUE)</f>
        <v>#N/A</v>
      </c>
      <c r="BK20" s="231" t="str" cm="1">
        <f t="array" ref="BK20">IF(L20="","",MAX(IF(L20="Unknown",ProgramYear-INDEX('Equipment Lookups'!$AF$5:$AF$38,MATCH(Inventory!BL20,'Equipment Lookups'!$J$5:$J$38,0)),_xlfn.NUMBERVALUE(RIGHT(L20,4))),INDEX(BaselineRow,1)))</f>
        <v/>
      </c>
      <c r="BL20" s="232" t="str">
        <f t="shared" si="74"/>
        <v/>
      </c>
      <c r="BM20" s="232" t="e">
        <f t="shared" si="20"/>
        <v>#N/A</v>
      </c>
      <c r="BN20" s="229">
        <f t="shared" si="95"/>
        <v>0</v>
      </c>
      <c r="BO20" s="229">
        <f t="shared" si="102"/>
        <v>0</v>
      </c>
      <c r="BP20" s="229">
        <f t="shared" si="96"/>
        <v>0</v>
      </c>
      <c r="BQ20" s="229">
        <f t="shared" si="75"/>
        <v>0</v>
      </c>
      <c r="BR20" s="229" t="e">
        <f>HLOOKUP(BP20,'Equipment Lookups'!$L$4:$AE$55,VLOOKUP(Inventory!BS20,'Equipment Lookups'!$J$5:$K$55,2,FALSE),TRUE)</f>
        <v>#N/A</v>
      </c>
      <c r="BS20" s="232" t="str">
        <f t="shared" si="76"/>
        <v/>
      </c>
      <c r="BT20" s="232" t="e">
        <f t="shared" si="22"/>
        <v>#N/A</v>
      </c>
      <c r="BU20" s="230" t="e">
        <f>INDEX('Equipment Lookups'!$AG$5:$AG$55,MATCH(Inventory!BS20,'Equipment Lookups'!$J$5:$J$55,0))</f>
        <v>#N/A</v>
      </c>
      <c r="BV20" s="568" t="str">
        <f ca="1">IFERROR(IF(AL20&lt;&gt;"",AL20,IF(State="TX",INDEX(TX_EFLHSanAntonio[[CFAir Cooled Chiller]:[CFPTRoom]],MATCH(Inventory!C20,TX_EFLHSanAntonio[Building Type],0),MATCH(BU20,EFLH!$G$2:$J$2,0)),VLOOKUP(C20,INDIRECT($BY$5),4,FALSE))),"-")</f>
        <v>-</v>
      </c>
      <c r="BW20" s="580" t="str">
        <f ca="1">IFERROR(IF(AJ20&lt;&gt;"",AJ20,IF(State="TX",INDEX(TX_EFLHSanAntonio[[EFLHcAir Cooled Chiller]:[EFLHcPTRoom]],MATCH(Inventory!C20,TX_EFLHSanAntonio[Building Type],0),MATCH(BU20,EFLH!$O$2:$R$2,0)),VLOOKUP(C20,INDIRECT($BY$5),2,FALSE))),"-")</f>
        <v>-</v>
      </c>
      <c r="BX20" s="581" t="str">
        <f ca="1">IFERROR(IF(AK20&lt;&gt;"",AK20,IF(State="TX",INDEX(TX_EFLHSanAntonio[[EFLHhDX]:[EFLHhPTRoom]],MATCH(Inventory!C20,TX_EFLHSanAntonio[Building Type],0),MATCH(BU20,EFLH!$S$2:$T$2,0)),VLOOKUP(C20,INDIRECT($BY$5),3,FALSE))),"-")</f>
        <v>-</v>
      </c>
      <c r="BY20" s="565">
        <f>IF(AM20&lt;&gt;"",AM20,IF(State="TX",INDEX(TX_EFLHSanAntonio[[NCPAir Cooled Chiller]:[NCPPTRoom]],MATCH(Inventory!C20,TX_EFLHSanAntonio[Building Type],0),MATCH(BU20,EFLH!$K$2:$N$2,0)),0))</f>
        <v>0</v>
      </c>
      <c r="BZ20" s="598" t="e">
        <f t="shared" ca="1" si="23"/>
        <v>#N/A</v>
      </c>
      <c r="CA20" s="599" t="e">
        <f t="shared" ca="1" si="24"/>
        <v>#N/A</v>
      </c>
      <c r="CB20" s="599" t="str">
        <f t="shared" ca="1" si="25"/>
        <v/>
      </c>
      <c r="CC20" s="599" t="e">
        <f t="shared" ca="1" si="26"/>
        <v>#N/A</v>
      </c>
      <c r="CD20" s="599" t="e">
        <f t="shared" ca="1" si="27"/>
        <v>#N/A</v>
      </c>
      <c r="CE20" s="599" t="str">
        <f t="shared" ca="1" si="28"/>
        <v/>
      </c>
      <c r="CF20" s="599" t="b">
        <f t="shared" si="29"/>
        <v>0</v>
      </c>
      <c r="CG20" s="599" t="e">
        <f t="shared" ca="1" si="30"/>
        <v>#N/A</v>
      </c>
      <c r="CH20" s="599" t="e">
        <f t="shared" ca="1" si="31"/>
        <v>#N/A</v>
      </c>
      <c r="CI20" s="599" t="str">
        <f t="shared" ca="1" si="32"/>
        <v/>
      </c>
      <c r="CJ20" s="599" t="str">
        <f t="shared" si="33"/>
        <v/>
      </c>
      <c r="CK20" s="599" t="str">
        <f t="shared" si="34"/>
        <v/>
      </c>
      <c r="CL20" s="600" t="str">
        <f t="shared" si="35"/>
        <v/>
      </c>
      <c r="CM20" s="228" t="e">
        <f t="shared" ca="1" si="36"/>
        <v>#N/A</v>
      </c>
      <c r="CN20" s="228" t="e">
        <f t="shared" ca="1" si="37"/>
        <v>#N/A</v>
      </c>
      <c r="CO20" s="232" t="e">
        <f t="shared" ca="1" si="38"/>
        <v>#N/A</v>
      </c>
      <c r="CP20" s="232">
        <f t="shared" ca="1" si="39"/>
        <v>0</v>
      </c>
      <c r="CQ20" s="228" t="e">
        <f t="shared" ca="1" si="40"/>
        <v>#N/A</v>
      </c>
      <c r="CR20" s="228" t="e">
        <f t="shared" ca="1" si="41"/>
        <v>#N/A</v>
      </c>
      <c r="CS20" s="232" t="e">
        <f t="shared" ca="1" si="42"/>
        <v>#N/A</v>
      </c>
      <c r="CT20" s="232" t="e">
        <f t="shared" ca="1" si="43"/>
        <v>#VALUE!</v>
      </c>
      <c r="CU20" s="228" t="e">
        <f t="shared" ca="1" si="44"/>
        <v>#N/A</v>
      </c>
      <c r="CV20" s="228" t="e">
        <f t="shared" ca="1" si="45"/>
        <v>#N/A</v>
      </c>
      <c r="CW20" s="232" t="e">
        <f t="shared" ca="1" si="46"/>
        <v>#N/A</v>
      </c>
      <c r="CX20" s="237" t="e">
        <f t="shared" ca="1" si="47"/>
        <v>#VALUE!</v>
      </c>
      <c r="CY20" s="233">
        <f t="shared" si="77"/>
        <v>0</v>
      </c>
      <c r="CZ20" s="233">
        <f t="shared" si="78"/>
        <v>0</v>
      </c>
      <c r="DA20" s="246">
        <f t="shared" si="79"/>
        <v>0</v>
      </c>
      <c r="DB20" s="246">
        <f t="shared" si="80"/>
        <v>0</v>
      </c>
      <c r="DC20" s="562" t="e">
        <f>INDEX('Utility Admin'!$P$2:$AD$2,1,MATCH($Q20,'Utility Admin'!$P$3:$AD$3,0))</f>
        <v>#N/A</v>
      </c>
      <c r="DD20" s="131" t="e">
        <f>INDEX('Utility Admin'!AE$2:AS$2,1,MATCH($Q20,'Utility Admin'!$P$3:$AD$3,0))</f>
        <v>#N/A</v>
      </c>
      <c r="DE20" s="239" t="e">
        <f>IF(kWhOverride="",INDEX('Utility Admin'!$AT$2:$BH$2,1,MATCH($Q20,'Utility Admin'!$P$3:$AD$3,0)),kWhOverride)</f>
        <v>#N/A</v>
      </c>
      <c r="DF20" s="230" t="str" cm="1">
        <f t="array" ref="DF20">IF(B20="New Construction","",IF(L20="","",MAX(ProgramYear-BK20,1,)))</f>
        <v/>
      </c>
      <c r="DG20" s="234" t="e">
        <f>INDEX('Equipment Lookups'!$AI$5:$BV$55,MATCH(Inventory!BL20,'Equipment Lookups'!$J$5:$J$55,0),MATCH(Inventory!DF20,'Equipment Lookups'!$AI$4:$BV$4,0))</f>
        <v>#N/A</v>
      </c>
      <c r="DH20" s="230" t="e">
        <f>INDEX('Equipment Lookups'!$AH$5:$AH$55,MATCH(Inventory!BS20,'Equipment Lookups'!$J$5:$J$55,0))</f>
        <v>#N/A</v>
      </c>
      <c r="DI20" s="131" t="e">
        <f t="shared" si="81"/>
        <v>#N/A</v>
      </c>
      <c r="DJ20" s="131" t="e">
        <f t="shared" ca="1" si="82"/>
        <v>#N/A</v>
      </c>
      <c r="DK20" s="131" t="e">
        <f t="shared" ca="1" si="83"/>
        <v>#N/A</v>
      </c>
      <c r="DL20" s="131" t="e">
        <f t="shared" ca="1" si="84"/>
        <v>#N/A</v>
      </c>
      <c r="DM20" s="131" t="e">
        <f t="shared" ca="1" si="85"/>
        <v>#N/A</v>
      </c>
      <c r="DN20" s="131" t="e">
        <f t="shared" ca="1" si="86"/>
        <v>#N/A</v>
      </c>
      <c r="DO20" s="131" t="e">
        <f t="shared" ca="1" si="87"/>
        <v>#N/A</v>
      </c>
      <c r="DP20" s="131" t="e">
        <f t="shared" ca="1" si="97"/>
        <v>#N/A</v>
      </c>
      <c r="DQ20" s="131" t="e">
        <f t="shared" ca="1" si="98"/>
        <v>#N/A</v>
      </c>
      <c r="DR20" s="131" t="e">
        <f t="shared" ca="1" si="88"/>
        <v>#N/A</v>
      </c>
      <c r="DS20" s="131" t="e">
        <f t="shared" ca="1" si="89"/>
        <v>#N/A</v>
      </c>
      <c r="DT20" s="131" t="e">
        <f t="shared" ca="1" si="90"/>
        <v>#N/A</v>
      </c>
      <c r="DU20" s="131" t="e">
        <f t="shared" ca="1" si="99"/>
        <v>#N/A</v>
      </c>
      <c r="DV20" s="131" t="e">
        <f t="shared" si="91"/>
        <v>#N/A</v>
      </c>
      <c r="DW20" s="131" t="e">
        <f t="shared" si="100"/>
        <v>#N/A</v>
      </c>
      <c r="DX20" s="131" t="e">
        <f t="shared" ca="1" si="92"/>
        <v>#N/A</v>
      </c>
      <c r="DY20" s="131" t="e">
        <f t="shared" ca="1" si="93"/>
        <v>#N/A</v>
      </c>
      <c r="DZ20" s="131" t="e">
        <f t="shared" ca="1" si="94"/>
        <v>#N/A</v>
      </c>
      <c r="EA20" s="131" t="e">
        <f t="shared" ca="1" si="101"/>
        <v>#N/A</v>
      </c>
      <c r="EB20" s="250">
        <f t="shared" ca="1" si="64"/>
        <v>0</v>
      </c>
      <c r="EC20" s="131">
        <f t="shared" ca="1" si="65"/>
        <v>0</v>
      </c>
      <c r="ED20" s="131">
        <f t="shared" ca="1" si="66"/>
        <v>0</v>
      </c>
    </row>
    <row r="21" spans="1:134" ht="30" customHeight="1" x14ac:dyDescent="0.25">
      <c r="A21" s="132">
        <v>14</v>
      </c>
      <c r="B21" s="481"/>
      <c r="C21" s="113"/>
      <c r="D21" s="480"/>
      <c r="E21" s="480"/>
      <c r="F21" s="285"/>
      <c r="G21" s="284"/>
      <c r="H21" s="287"/>
      <c r="I21" s="521" t="str">
        <f t="shared" si="1"/>
        <v/>
      </c>
      <c r="J21" s="110"/>
      <c r="K21" s="110"/>
      <c r="L21" s="114"/>
      <c r="M21" s="498"/>
      <c r="N21" s="633"/>
      <c r="O21" s="111"/>
      <c r="P21" s="111"/>
      <c r="Q21" s="110"/>
      <c r="R21" s="288"/>
      <c r="S21" s="494" t="str">
        <f t="shared" si="2"/>
        <v/>
      </c>
      <c r="T21" s="288"/>
      <c r="U21" s="494" t="str">
        <f t="shared" si="3"/>
        <v/>
      </c>
      <c r="V21" s="110"/>
      <c r="W21" s="110"/>
      <c r="X21" s="546" t="str">
        <f t="shared" si="4"/>
        <v/>
      </c>
      <c r="Y21" s="110"/>
      <c r="Z21" s="110"/>
      <c r="AA21" s="112"/>
      <c r="AB21" s="112"/>
      <c r="AC21" s="639" t="str">
        <f t="shared" si="5"/>
        <v/>
      </c>
      <c r="AD21" s="112"/>
      <c r="AE21" s="496" t="str">
        <f t="shared" si="6"/>
        <v/>
      </c>
      <c r="AF21" s="482"/>
      <c r="AG21" s="533"/>
      <c r="AH21" s="534"/>
      <c r="AI21" s="538"/>
      <c r="AJ21" s="409"/>
      <c r="AK21" s="409"/>
      <c r="AL21" s="112"/>
      <c r="AM21" s="679"/>
      <c r="AN21" s="683">
        <f t="shared" si="67"/>
        <v>0</v>
      </c>
      <c r="AO21" s="681">
        <f t="shared" si="68"/>
        <v>0</v>
      </c>
      <c r="AP21" s="223">
        <f t="shared" si="7"/>
        <v>0</v>
      </c>
      <c r="AQ21" s="224">
        <f>IFERROR(IF($AR$3&lt;'Utility Admin'!$I$2,AR21,'Utility Admin'!$I$2/Inventory!$AR$3*AR21),0)</f>
        <v>0</v>
      </c>
      <c r="AR21" s="602">
        <f t="shared" si="8"/>
        <v>0</v>
      </c>
      <c r="AS21" s="604">
        <f t="shared" si="69"/>
        <v>0</v>
      </c>
      <c r="AT21" s="225"/>
      <c r="AU21" s="511" t="str">
        <f t="shared" si="10"/>
        <v/>
      </c>
      <c r="AV21" s="545" t="str">
        <f t="shared" si="11"/>
        <v/>
      </c>
      <c r="AW21" s="129" t="str">
        <f t="shared" si="70"/>
        <v/>
      </c>
      <c r="AX21" s="542" t="str">
        <f t="shared" si="12"/>
        <v/>
      </c>
      <c r="AY21" s="130" t="str">
        <f t="shared" si="71"/>
        <v/>
      </c>
      <c r="AZ21" s="399"/>
      <c r="BA21" s="417">
        <f t="shared" si="13"/>
        <v>0</v>
      </c>
      <c r="BB21" s="131">
        <f t="shared" si="14"/>
        <v>0</v>
      </c>
      <c r="BC21" s="131">
        <f t="shared" si="15"/>
        <v>0</v>
      </c>
      <c r="BD21" s="228" t="str">
        <f t="shared" si="72"/>
        <v/>
      </c>
      <c r="BE21" s="228">
        <f t="shared" si="73"/>
        <v>0</v>
      </c>
      <c r="BF21" s="761" t="str">
        <f>IF('Project Info'!$D$7="TX",INDEX(EFLH!$U$4:$U$31,MATCH(C21,TX_EFLHSanAntonio[Building Type],0),1),'Project Info'!$D$7&amp;"EquipmentType")</f>
        <v>EquipmentType</v>
      </c>
      <c r="BG21" s="229">
        <f t="shared" si="17"/>
        <v>0</v>
      </c>
      <c r="BH21" s="229">
        <f t="shared" si="18"/>
        <v>0</v>
      </c>
      <c r="BI21" s="229">
        <f t="shared" si="19"/>
        <v>0</v>
      </c>
      <c r="BJ21" s="230" t="e">
        <f>HLOOKUP(BI21,'Equipment Lookups'!$L$4:$AE$55,VLOOKUP(Inventory!BL21,'Equipment Lookups'!$J$5:$K$55,2,FALSE),TRUE)</f>
        <v>#N/A</v>
      </c>
      <c r="BK21" s="231" t="str" cm="1">
        <f t="array" ref="BK21">IF(L21="","",MAX(IF(L21="Unknown",ProgramYear-INDEX('Equipment Lookups'!$AF$5:$AF$38,MATCH(Inventory!BL21,'Equipment Lookups'!$J$5:$J$38,0)),_xlfn.NUMBERVALUE(RIGHT(L21,4))),INDEX(BaselineRow,1)))</f>
        <v/>
      </c>
      <c r="BL21" s="232" t="str">
        <f t="shared" si="74"/>
        <v/>
      </c>
      <c r="BM21" s="232" t="e">
        <f t="shared" si="20"/>
        <v>#N/A</v>
      </c>
      <c r="BN21" s="229">
        <f t="shared" si="95"/>
        <v>0</v>
      </c>
      <c r="BO21" s="229">
        <f t="shared" si="102"/>
        <v>0</v>
      </c>
      <c r="BP21" s="229">
        <f t="shared" si="96"/>
        <v>0</v>
      </c>
      <c r="BQ21" s="229">
        <f t="shared" si="75"/>
        <v>0</v>
      </c>
      <c r="BR21" s="229" t="e">
        <f>HLOOKUP(BP21,'Equipment Lookups'!$L$4:$AE$55,VLOOKUP(Inventory!BS21,'Equipment Lookups'!$J$5:$K$55,2,FALSE),TRUE)</f>
        <v>#N/A</v>
      </c>
      <c r="BS21" s="232" t="str">
        <f t="shared" si="76"/>
        <v/>
      </c>
      <c r="BT21" s="232" t="e">
        <f t="shared" si="22"/>
        <v>#N/A</v>
      </c>
      <c r="BU21" s="230" t="e">
        <f>INDEX('Equipment Lookups'!$AG$5:$AG$55,MATCH(Inventory!BS21,'Equipment Lookups'!$J$5:$J$55,0))</f>
        <v>#N/A</v>
      </c>
      <c r="BV21" s="568" t="str">
        <f ca="1">IFERROR(IF(AL21&lt;&gt;"",AL21,IF(State="TX",INDEX(TX_EFLHSanAntonio[[CFAir Cooled Chiller]:[CFPTRoom]],MATCH(Inventory!C21,TX_EFLHSanAntonio[Building Type],0),MATCH(BU21,EFLH!$G$2:$J$2,0)),VLOOKUP(C21,INDIRECT($BY$5),4,FALSE))),"-")</f>
        <v>-</v>
      </c>
      <c r="BW21" s="580" t="str">
        <f ca="1">IFERROR(IF(AJ21&lt;&gt;"",AJ21,IF(State="TX",INDEX(TX_EFLHSanAntonio[[EFLHcAir Cooled Chiller]:[EFLHcPTRoom]],MATCH(Inventory!C21,TX_EFLHSanAntonio[Building Type],0),MATCH(BU21,EFLH!$O$2:$R$2,0)),VLOOKUP(C21,INDIRECT($BY$5),2,FALSE))),"-")</f>
        <v>-</v>
      </c>
      <c r="BX21" s="581" t="str">
        <f ca="1">IFERROR(IF(AK21&lt;&gt;"",AK21,IF(State="TX",INDEX(TX_EFLHSanAntonio[[EFLHhDX]:[EFLHhPTRoom]],MATCH(Inventory!C21,TX_EFLHSanAntonio[Building Type],0),MATCH(BU21,EFLH!$S$2:$T$2,0)),VLOOKUP(C21,INDIRECT($BY$5),3,FALSE))),"-")</f>
        <v>-</v>
      </c>
      <c r="BY21" s="565">
        <f>IF(AM21&lt;&gt;"",AM21,IF(State="TX",INDEX(TX_EFLHSanAntonio[[NCPAir Cooled Chiller]:[NCPPTRoom]],MATCH(Inventory!C21,TX_EFLHSanAntonio[Building Type],0),MATCH(BU21,EFLH!$K$2:$N$2,0)),0))</f>
        <v>0</v>
      </c>
      <c r="BZ21" s="598" t="e">
        <f t="shared" ca="1" si="23"/>
        <v>#N/A</v>
      </c>
      <c r="CA21" s="599" t="e">
        <f t="shared" ca="1" si="24"/>
        <v>#N/A</v>
      </c>
      <c r="CB21" s="599" t="str">
        <f t="shared" ca="1" si="25"/>
        <v/>
      </c>
      <c r="CC21" s="599" t="e">
        <f t="shared" ca="1" si="26"/>
        <v>#N/A</v>
      </c>
      <c r="CD21" s="599" t="e">
        <f t="shared" ca="1" si="27"/>
        <v>#N/A</v>
      </c>
      <c r="CE21" s="599" t="str">
        <f t="shared" ca="1" si="28"/>
        <v/>
      </c>
      <c r="CF21" s="599" t="b">
        <f t="shared" si="29"/>
        <v>0</v>
      </c>
      <c r="CG21" s="599" t="e">
        <f t="shared" ca="1" si="30"/>
        <v>#N/A</v>
      </c>
      <c r="CH21" s="599" t="e">
        <f t="shared" ca="1" si="31"/>
        <v>#N/A</v>
      </c>
      <c r="CI21" s="599" t="str">
        <f t="shared" ca="1" si="32"/>
        <v/>
      </c>
      <c r="CJ21" s="599" t="str">
        <f t="shared" si="33"/>
        <v/>
      </c>
      <c r="CK21" s="599" t="str">
        <f t="shared" si="34"/>
        <v/>
      </c>
      <c r="CL21" s="600" t="str">
        <f t="shared" si="35"/>
        <v/>
      </c>
      <c r="CM21" s="228" t="e">
        <f t="shared" ca="1" si="36"/>
        <v>#N/A</v>
      </c>
      <c r="CN21" s="228" t="e">
        <f t="shared" ca="1" si="37"/>
        <v>#N/A</v>
      </c>
      <c r="CO21" s="232" t="e">
        <f t="shared" ca="1" si="38"/>
        <v>#N/A</v>
      </c>
      <c r="CP21" s="232">
        <f t="shared" ca="1" si="39"/>
        <v>0</v>
      </c>
      <c r="CQ21" s="228" t="e">
        <f t="shared" ca="1" si="40"/>
        <v>#N/A</v>
      </c>
      <c r="CR21" s="228" t="e">
        <f t="shared" ca="1" si="41"/>
        <v>#N/A</v>
      </c>
      <c r="CS21" s="232" t="e">
        <f t="shared" ca="1" si="42"/>
        <v>#N/A</v>
      </c>
      <c r="CT21" s="232" t="e">
        <f t="shared" ca="1" si="43"/>
        <v>#VALUE!</v>
      </c>
      <c r="CU21" s="228" t="e">
        <f t="shared" ca="1" si="44"/>
        <v>#N/A</v>
      </c>
      <c r="CV21" s="228" t="e">
        <f t="shared" ca="1" si="45"/>
        <v>#N/A</v>
      </c>
      <c r="CW21" s="232" t="e">
        <f t="shared" ca="1" si="46"/>
        <v>#N/A</v>
      </c>
      <c r="CX21" s="237" t="e">
        <f t="shared" ca="1" si="47"/>
        <v>#VALUE!</v>
      </c>
      <c r="CY21" s="233">
        <f t="shared" si="77"/>
        <v>0</v>
      </c>
      <c r="CZ21" s="233">
        <f t="shared" si="78"/>
        <v>0</v>
      </c>
      <c r="DA21" s="246">
        <f t="shared" si="79"/>
        <v>0</v>
      </c>
      <c r="DB21" s="246">
        <f t="shared" si="80"/>
        <v>0</v>
      </c>
      <c r="DC21" s="562" t="e">
        <f>INDEX('Utility Admin'!$P$2:$AD$2,1,MATCH($Q21,'Utility Admin'!$P$3:$AD$3,0))</f>
        <v>#N/A</v>
      </c>
      <c r="DD21" s="131" t="e">
        <f>INDEX('Utility Admin'!AE$2:AS$2,1,MATCH($Q21,'Utility Admin'!$P$3:$AD$3,0))</f>
        <v>#N/A</v>
      </c>
      <c r="DE21" s="239" t="e">
        <f>IF(kWhOverride="",INDEX('Utility Admin'!$AT$2:$BH$2,1,MATCH($Q21,'Utility Admin'!$P$3:$AD$3,0)),kWhOverride)</f>
        <v>#N/A</v>
      </c>
      <c r="DF21" s="230" t="str" cm="1">
        <f t="array" ref="DF21">IF(B21="New Construction","",IF(L21="","",MAX(ProgramYear-BK21,1,)))</f>
        <v/>
      </c>
      <c r="DG21" s="234" t="e">
        <f>INDEX('Equipment Lookups'!$AI$5:$BV$55,MATCH(Inventory!BL21,'Equipment Lookups'!$J$5:$J$55,0),MATCH(Inventory!DF21,'Equipment Lookups'!$AI$4:$BV$4,0))</f>
        <v>#N/A</v>
      </c>
      <c r="DH21" s="230" t="e">
        <f>INDEX('Equipment Lookups'!$AH$5:$AH$55,MATCH(Inventory!BS21,'Equipment Lookups'!$J$5:$J$55,0))</f>
        <v>#N/A</v>
      </c>
      <c r="DI21" s="131" t="e">
        <f t="shared" si="81"/>
        <v>#N/A</v>
      </c>
      <c r="DJ21" s="131" t="e">
        <f t="shared" ca="1" si="82"/>
        <v>#N/A</v>
      </c>
      <c r="DK21" s="131" t="e">
        <f t="shared" ca="1" si="83"/>
        <v>#N/A</v>
      </c>
      <c r="DL21" s="131" t="e">
        <f t="shared" ca="1" si="84"/>
        <v>#N/A</v>
      </c>
      <c r="DM21" s="131" t="e">
        <f t="shared" ca="1" si="85"/>
        <v>#N/A</v>
      </c>
      <c r="DN21" s="131" t="e">
        <f t="shared" ca="1" si="86"/>
        <v>#N/A</v>
      </c>
      <c r="DO21" s="131" t="e">
        <f t="shared" ca="1" si="87"/>
        <v>#N/A</v>
      </c>
      <c r="DP21" s="131" t="e">
        <f t="shared" ca="1" si="97"/>
        <v>#N/A</v>
      </c>
      <c r="DQ21" s="131" t="e">
        <f t="shared" ca="1" si="98"/>
        <v>#N/A</v>
      </c>
      <c r="DR21" s="131" t="e">
        <f t="shared" ca="1" si="88"/>
        <v>#N/A</v>
      </c>
      <c r="DS21" s="131" t="e">
        <f t="shared" ca="1" si="89"/>
        <v>#N/A</v>
      </c>
      <c r="DT21" s="131" t="e">
        <f t="shared" ca="1" si="90"/>
        <v>#N/A</v>
      </c>
      <c r="DU21" s="131" t="e">
        <f t="shared" ca="1" si="99"/>
        <v>#N/A</v>
      </c>
      <c r="DV21" s="131" t="e">
        <f t="shared" si="91"/>
        <v>#N/A</v>
      </c>
      <c r="DW21" s="131" t="e">
        <f t="shared" si="100"/>
        <v>#N/A</v>
      </c>
      <c r="DX21" s="131" t="e">
        <f t="shared" ca="1" si="92"/>
        <v>#N/A</v>
      </c>
      <c r="DY21" s="131" t="e">
        <f t="shared" ca="1" si="93"/>
        <v>#N/A</v>
      </c>
      <c r="DZ21" s="131" t="e">
        <f t="shared" ca="1" si="94"/>
        <v>#N/A</v>
      </c>
      <c r="EA21" s="131" t="e">
        <f t="shared" ca="1" si="101"/>
        <v>#N/A</v>
      </c>
      <c r="EB21" s="250">
        <f t="shared" ca="1" si="64"/>
        <v>0</v>
      </c>
      <c r="EC21" s="131">
        <f t="shared" ca="1" si="65"/>
        <v>0</v>
      </c>
      <c r="ED21" s="131">
        <f t="shared" ca="1" si="66"/>
        <v>0</v>
      </c>
    </row>
    <row r="22" spans="1:134" ht="30" customHeight="1" x14ac:dyDescent="0.25">
      <c r="A22" s="128">
        <v>15</v>
      </c>
      <c r="B22" s="481"/>
      <c r="C22" s="113"/>
      <c r="D22" s="480"/>
      <c r="E22" s="480"/>
      <c r="F22" s="285"/>
      <c r="G22" s="284"/>
      <c r="H22" s="287"/>
      <c r="I22" s="521" t="str">
        <f t="shared" si="1"/>
        <v/>
      </c>
      <c r="J22" s="110"/>
      <c r="K22" s="110"/>
      <c r="L22" s="114"/>
      <c r="M22" s="498"/>
      <c r="N22" s="633"/>
      <c r="O22" s="111"/>
      <c r="P22" s="111"/>
      <c r="Q22" s="110"/>
      <c r="R22" s="288"/>
      <c r="S22" s="494" t="str">
        <f t="shared" si="2"/>
        <v/>
      </c>
      <c r="T22" s="288"/>
      <c r="U22" s="494" t="str">
        <f t="shared" si="3"/>
        <v/>
      </c>
      <c r="V22" s="110"/>
      <c r="W22" s="110"/>
      <c r="X22" s="546" t="str">
        <f t="shared" si="4"/>
        <v/>
      </c>
      <c r="Y22" s="110"/>
      <c r="Z22" s="110"/>
      <c r="AA22" s="112"/>
      <c r="AB22" s="112"/>
      <c r="AC22" s="639" t="str">
        <f t="shared" si="5"/>
        <v/>
      </c>
      <c r="AD22" s="112"/>
      <c r="AE22" s="496" t="str">
        <f t="shared" si="6"/>
        <v/>
      </c>
      <c r="AF22" s="482"/>
      <c r="AG22" s="533"/>
      <c r="AH22" s="534"/>
      <c r="AI22" s="538"/>
      <c r="AJ22" s="409"/>
      <c r="AK22" s="409"/>
      <c r="AL22" s="112"/>
      <c r="AM22" s="679"/>
      <c r="AN22" s="683">
        <f t="shared" si="67"/>
        <v>0</v>
      </c>
      <c r="AO22" s="681">
        <f t="shared" si="68"/>
        <v>0</v>
      </c>
      <c r="AP22" s="223">
        <f t="shared" si="7"/>
        <v>0</v>
      </c>
      <c r="AQ22" s="224">
        <f>IFERROR(IF($AR$3&lt;'Utility Admin'!$I$2,AR22,'Utility Admin'!$I$2/Inventory!$AR$3*AR22),0)</f>
        <v>0</v>
      </c>
      <c r="AR22" s="602">
        <f t="shared" si="8"/>
        <v>0</v>
      </c>
      <c r="AS22" s="604">
        <f t="shared" si="69"/>
        <v>0</v>
      </c>
      <c r="AT22" s="225"/>
      <c r="AU22" s="511" t="str">
        <f t="shared" si="10"/>
        <v/>
      </c>
      <c r="AV22" s="545" t="str">
        <f t="shared" si="11"/>
        <v/>
      </c>
      <c r="AW22" s="129" t="str">
        <f t="shared" si="70"/>
        <v/>
      </c>
      <c r="AX22" s="542" t="str">
        <f t="shared" si="12"/>
        <v/>
      </c>
      <c r="AY22" s="130" t="str">
        <f t="shared" si="71"/>
        <v/>
      </c>
      <c r="AZ22" s="399"/>
      <c r="BA22" s="417">
        <f t="shared" si="13"/>
        <v>0</v>
      </c>
      <c r="BB22" s="131">
        <f t="shared" si="14"/>
        <v>0</v>
      </c>
      <c r="BC22" s="131">
        <f t="shared" si="15"/>
        <v>0</v>
      </c>
      <c r="BD22" s="228" t="str">
        <f t="shared" si="72"/>
        <v/>
      </c>
      <c r="BE22" s="228">
        <f t="shared" si="73"/>
        <v>0</v>
      </c>
      <c r="BF22" s="761" t="str">
        <f>IF('Project Info'!$D$7="TX",INDEX(EFLH!$U$4:$U$31,MATCH(C22,TX_EFLHSanAntonio[Building Type],0),1),'Project Info'!$D$7&amp;"EquipmentType")</f>
        <v>EquipmentType</v>
      </c>
      <c r="BG22" s="229">
        <f t="shared" si="17"/>
        <v>0</v>
      </c>
      <c r="BH22" s="229">
        <f t="shared" si="18"/>
        <v>0</v>
      </c>
      <c r="BI22" s="229">
        <f t="shared" si="19"/>
        <v>0</v>
      </c>
      <c r="BJ22" s="230" t="e">
        <f>HLOOKUP(BI22,'Equipment Lookups'!$L$4:$AE$55,VLOOKUP(Inventory!BL22,'Equipment Lookups'!$J$5:$K$55,2,FALSE),TRUE)</f>
        <v>#N/A</v>
      </c>
      <c r="BK22" s="231" t="str" cm="1">
        <f t="array" ref="BK22">IF(L22="","",MAX(IF(L22="Unknown",ProgramYear-INDEX('Equipment Lookups'!$AF$5:$AF$38,MATCH(Inventory!BL22,'Equipment Lookups'!$J$5:$J$38,0)),_xlfn.NUMBERVALUE(RIGHT(L22,4))),INDEX(BaselineRow,1)))</f>
        <v/>
      </c>
      <c r="BL22" s="232" t="str">
        <f t="shared" si="74"/>
        <v/>
      </c>
      <c r="BM22" s="232" t="e">
        <f t="shared" si="20"/>
        <v>#N/A</v>
      </c>
      <c r="BN22" s="229">
        <f t="shared" si="95"/>
        <v>0</v>
      </c>
      <c r="BO22" s="229">
        <f t="shared" si="102"/>
        <v>0</v>
      </c>
      <c r="BP22" s="229">
        <f t="shared" si="96"/>
        <v>0</v>
      </c>
      <c r="BQ22" s="229">
        <f t="shared" si="75"/>
        <v>0</v>
      </c>
      <c r="BR22" s="229" t="e">
        <f>HLOOKUP(BP22,'Equipment Lookups'!$L$4:$AE$55,VLOOKUP(Inventory!BS22,'Equipment Lookups'!$J$5:$K$55,2,FALSE),TRUE)</f>
        <v>#N/A</v>
      </c>
      <c r="BS22" s="232" t="str">
        <f t="shared" si="76"/>
        <v/>
      </c>
      <c r="BT22" s="232" t="e">
        <f t="shared" si="22"/>
        <v>#N/A</v>
      </c>
      <c r="BU22" s="230" t="e">
        <f>INDEX('Equipment Lookups'!$AG$5:$AG$55,MATCH(Inventory!BS22,'Equipment Lookups'!$J$5:$J$55,0))</f>
        <v>#N/A</v>
      </c>
      <c r="BV22" s="568" t="str">
        <f ca="1">IFERROR(IF(AL22&lt;&gt;"",AL22,IF(State="TX",INDEX(TX_EFLHSanAntonio[[CFAir Cooled Chiller]:[CFPTRoom]],MATCH(Inventory!C22,TX_EFLHSanAntonio[Building Type],0),MATCH(BU22,EFLH!$G$2:$J$2,0)),VLOOKUP(C22,INDIRECT($BY$5),4,FALSE))),"-")</f>
        <v>-</v>
      </c>
      <c r="BW22" s="580" t="str">
        <f ca="1">IFERROR(IF(AJ22&lt;&gt;"",AJ22,IF(State="TX",INDEX(TX_EFLHSanAntonio[[EFLHcAir Cooled Chiller]:[EFLHcPTRoom]],MATCH(Inventory!C22,TX_EFLHSanAntonio[Building Type],0),MATCH(BU22,EFLH!$O$2:$R$2,0)),VLOOKUP(C22,INDIRECT($BY$5),2,FALSE))),"-")</f>
        <v>-</v>
      </c>
      <c r="BX22" s="581" t="str">
        <f ca="1">IFERROR(IF(AK22&lt;&gt;"",AK22,IF(State="TX",INDEX(TX_EFLHSanAntonio[[EFLHhDX]:[EFLHhPTRoom]],MATCH(Inventory!C22,TX_EFLHSanAntonio[Building Type],0),MATCH(BU22,EFLH!$S$2:$T$2,0)),VLOOKUP(C22,INDIRECT($BY$5),3,FALSE))),"-")</f>
        <v>-</v>
      </c>
      <c r="BY22" s="565">
        <f>IF(AM22&lt;&gt;"",AM22,IF(State="TX",INDEX(TX_EFLHSanAntonio[[NCPAir Cooled Chiller]:[NCPPTRoom]],MATCH(Inventory!C22,TX_EFLHSanAntonio[Building Type],0),MATCH(BU22,EFLH!$K$2:$N$2,0)),0))</f>
        <v>0</v>
      </c>
      <c r="BZ22" s="598" t="e">
        <f t="shared" ca="1" si="23"/>
        <v>#N/A</v>
      </c>
      <c r="CA22" s="599" t="e">
        <f t="shared" ca="1" si="24"/>
        <v>#N/A</v>
      </c>
      <c r="CB22" s="599" t="str">
        <f t="shared" ca="1" si="25"/>
        <v/>
      </c>
      <c r="CC22" s="599" t="e">
        <f t="shared" ca="1" si="26"/>
        <v>#N/A</v>
      </c>
      <c r="CD22" s="599" t="e">
        <f t="shared" ca="1" si="27"/>
        <v>#N/A</v>
      </c>
      <c r="CE22" s="599" t="str">
        <f t="shared" ca="1" si="28"/>
        <v/>
      </c>
      <c r="CF22" s="599" t="b">
        <f t="shared" si="29"/>
        <v>0</v>
      </c>
      <c r="CG22" s="599" t="e">
        <f t="shared" ca="1" si="30"/>
        <v>#N/A</v>
      </c>
      <c r="CH22" s="599" t="e">
        <f t="shared" ca="1" si="31"/>
        <v>#N/A</v>
      </c>
      <c r="CI22" s="599" t="str">
        <f t="shared" ca="1" si="32"/>
        <v/>
      </c>
      <c r="CJ22" s="599" t="str">
        <f t="shared" si="33"/>
        <v/>
      </c>
      <c r="CK22" s="599" t="str">
        <f t="shared" si="34"/>
        <v/>
      </c>
      <c r="CL22" s="600" t="str">
        <f t="shared" si="35"/>
        <v/>
      </c>
      <c r="CM22" s="228" t="e">
        <f t="shared" ca="1" si="36"/>
        <v>#N/A</v>
      </c>
      <c r="CN22" s="228" t="e">
        <f t="shared" ca="1" si="37"/>
        <v>#N/A</v>
      </c>
      <c r="CO22" s="232" t="e">
        <f t="shared" ca="1" si="38"/>
        <v>#N/A</v>
      </c>
      <c r="CP22" s="232">
        <f t="shared" ca="1" si="39"/>
        <v>0</v>
      </c>
      <c r="CQ22" s="228" t="e">
        <f t="shared" ca="1" si="40"/>
        <v>#N/A</v>
      </c>
      <c r="CR22" s="228" t="e">
        <f t="shared" ca="1" si="41"/>
        <v>#N/A</v>
      </c>
      <c r="CS22" s="232" t="e">
        <f t="shared" ca="1" si="42"/>
        <v>#N/A</v>
      </c>
      <c r="CT22" s="232" t="e">
        <f t="shared" ca="1" si="43"/>
        <v>#VALUE!</v>
      </c>
      <c r="CU22" s="228" t="e">
        <f t="shared" ca="1" si="44"/>
        <v>#N/A</v>
      </c>
      <c r="CV22" s="228" t="e">
        <f t="shared" ca="1" si="45"/>
        <v>#N/A</v>
      </c>
      <c r="CW22" s="232" t="e">
        <f t="shared" ca="1" si="46"/>
        <v>#N/A</v>
      </c>
      <c r="CX22" s="237" t="e">
        <f t="shared" ca="1" si="47"/>
        <v>#VALUE!</v>
      </c>
      <c r="CY22" s="233">
        <f t="shared" si="77"/>
        <v>0</v>
      </c>
      <c r="CZ22" s="233">
        <f t="shared" si="78"/>
        <v>0</v>
      </c>
      <c r="DA22" s="246">
        <f t="shared" si="79"/>
        <v>0</v>
      </c>
      <c r="DB22" s="246">
        <f t="shared" si="80"/>
        <v>0</v>
      </c>
      <c r="DC22" s="562" t="e">
        <f>INDEX('Utility Admin'!$P$2:$AD$2,1,MATCH($Q22,'Utility Admin'!$P$3:$AD$3,0))</f>
        <v>#N/A</v>
      </c>
      <c r="DD22" s="131" t="e">
        <f>INDEX('Utility Admin'!AE$2:AS$2,1,MATCH($Q22,'Utility Admin'!$P$3:$AD$3,0))</f>
        <v>#N/A</v>
      </c>
      <c r="DE22" s="239" t="e">
        <f>IF(kWhOverride="",INDEX('Utility Admin'!$AT$2:$BH$2,1,MATCH($Q22,'Utility Admin'!$P$3:$AD$3,0)),kWhOverride)</f>
        <v>#N/A</v>
      </c>
      <c r="DF22" s="230" t="str" cm="1">
        <f t="array" ref="DF22">IF(B22="New Construction","",IF(L22="","",MAX(ProgramYear-BK22,1,)))</f>
        <v/>
      </c>
      <c r="DG22" s="234" t="e">
        <f>INDEX('Equipment Lookups'!$AI$5:$BV$55,MATCH(Inventory!BL22,'Equipment Lookups'!$J$5:$J$55,0),MATCH(Inventory!DF22,'Equipment Lookups'!$AI$4:$BV$4,0))</f>
        <v>#N/A</v>
      </c>
      <c r="DH22" s="230" t="e">
        <f>INDEX('Equipment Lookups'!$AH$5:$AH$55,MATCH(Inventory!BS22,'Equipment Lookups'!$J$5:$J$55,0))</f>
        <v>#N/A</v>
      </c>
      <c r="DI22" s="131" t="e">
        <f t="shared" si="81"/>
        <v>#N/A</v>
      </c>
      <c r="DJ22" s="131" t="e">
        <f t="shared" ca="1" si="82"/>
        <v>#N/A</v>
      </c>
      <c r="DK22" s="131" t="e">
        <f t="shared" ca="1" si="83"/>
        <v>#N/A</v>
      </c>
      <c r="DL22" s="131" t="e">
        <f t="shared" ca="1" si="84"/>
        <v>#N/A</v>
      </c>
      <c r="DM22" s="131" t="e">
        <f t="shared" ca="1" si="85"/>
        <v>#N/A</v>
      </c>
      <c r="DN22" s="131" t="e">
        <f t="shared" ca="1" si="86"/>
        <v>#N/A</v>
      </c>
      <c r="DO22" s="131" t="e">
        <f t="shared" ca="1" si="87"/>
        <v>#N/A</v>
      </c>
      <c r="DP22" s="131" t="e">
        <f t="shared" ca="1" si="97"/>
        <v>#N/A</v>
      </c>
      <c r="DQ22" s="131" t="e">
        <f t="shared" ca="1" si="98"/>
        <v>#N/A</v>
      </c>
      <c r="DR22" s="131" t="e">
        <f t="shared" ca="1" si="88"/>
        <v>#N/A</v>
      </c>
      <c r="DS22" s="131" t="e">
        <f t="shared" ca="1" si="89"/>
        <v>#N/A</v>
      </c>
      <c r="DT22" s="131" t="e">
        <f t="shared" ca="1" si="90"/>
        <v>#N/A</v>
      </c>
      <c r="DU22" s="131" t="e">
        <f t="shared" ca="1" si="99"/>
        <v>#N/A</v>
      </c>
      <c r="DV22" s="131" t="e">
        <f t="shared" si="91"/>
        <v>#N/A</v>
      </c>
      <c r="DW22" s="131" t="e">
        <f t="shared" si="100"/>
        <v>#N/A</v>
      </c>
      <c r="DX22" s="131" t="e">
        <f t="shared" ca="1" si="92"/>
        <v>#N/A</v>
      </c>
      <c r="DY22" s="131" t="e">
        <f t="shared" ca="1" si="93"/>
        <v>#N/A</v>
      </c>
      <c r="DZ22" s="131" t="e">
        <f t="shared" ca="1" si="94"/>
        <v>#N/A</v>
      </c>
      <c r="EA22" s="131" t="e">
        <f t="shared" ca="1" si="101"/>
        <v>#N/A</v>
      </c>
      <c r="EB22" s="250">
        <f t="shared" ca="1" si="64"/>
        <v>0</v>
      </c>
      <c r="EC22" s="131">
        <f t="shared" ca="1" si="65"/>
        <v>0</v>
      </c>
      <c r="ED22" s="131">
        <f t="shared" ca="1" si="66"/>
        <v>0</v>
      </c>
    </row>
    <row r="23" spans="1:134" ht="30" customHeight="1" x14ac:dyDescent="0.25">
      <c r="A23" s="132">
        <v>16</v>
      </c>
      <c r="B23" s="481"/>
      <c r="C23" s="113"/>
      <c r="D23" s="480"/>
      <c r="E23" s="480"/>
      <c r="F23" s="285"/>
      <c r="G23" s="284"/>
      <c r="H23" s="287"/>
      <c r="I23" s="521" t="str">
        <f t="shared" si="1"/>
        <v/>
      </c>
      <c r="J23" s="110"/>
      <c r="K23" s="110"/>
      <c r="L23" s="114"/>
      <c r="M23" s="498"/>
      <c r="N23" s="633"/>
      <c r="O23" s="111"/>
      <c r="P23" s="111"/>
      <c r="Q23" s="110"/>
      <c r="R23" s="288"/>
      <c r="S23" s="494" t="str">
        <f t="shared" si="2"/>
        <v/>
      </c>
      <c r="T23" s="288"/>
      <c r="U23" s="494" t="str">
        <f t="shared" si="3"/>
        <v/>
      </c>
      <c r="V23" s="110"/>
      <c r="W23" s="110"/>
      <c r="X23" s="546" t="str">
        <f t="shared" si="4"/>
        <v/>
      </c>
      <c r="Y23" s="110"/>
      <c r="Z23" s="110"/>
      <c r="AA23" s="112"/>
      <c r="AB23" s="112"/>
      <c r="AC23" s="639" t="str">
        <f t="shared" si="5"/>
        <v/>
      </c>
      <c r="AD23" s="112"/>
      <c r="AE23" s="496" t="str">
        <f t="shared" si="6"/>
        <v/>
      </c>
      <c r="AF23" s="482"/>
      <c r="AG23" s="533"/>
      <c r="AH23" s="534"/>
      <c r="AI23" s="538"/>
      <c r="AJ23" s="409"/>
      <c r="AK23" s="409"/>
      <c r="AL23" s="112"/>
      <c r="AM23" s="679"/>
      <c r="AN23" s="683">
        <f t="shared" si="67"/>
        <v>0</v>
      </c>
      <c r="AO23" s="681">
        <f t="shared" si="68"/>
        <v>0</v>
      </c>
      <c r="AP23" s="223">
        <f t="shared" si="7"/>
        <v>0</v>
      </c>
      <c r="AQ23" s="224">
        <f>IFERROR(IF($AR$3&lt;'Utility Admin'!$I$2,AR23,'Utility Admin'!$I$2/Inventory!$AR$3*AR23),0)</f>
        <v>0</v>
      </c>
      <c r="AR23" s="602">
        <f t="shared" si="8"/>
        <v>0</v>
      </c>
      <c r="AS23" s="604">
        <f t="shared" si="69"/>
        <v>0</v>
      </c>
      <c r="AT23" s="225"/>
      <c r="AU23" s="511" t="str">
        <f t="shared" si="10"/>
        <v/>
      </c>
      <c r="AV23" s="545" t="str">
        <f t="shared" si="11"/>
        <v/>
      </c>
      <c r="AW23" s="129" t="str">
        <f t="shared" si="70"/>
        <v/>
      </c>
      <c r="AX23" s="542" t="str">
        <f t="shared" si="12"/>
        <v/>
      </c>
      <c r="AY23" s="130" t="str">
        <f t="shared" si="71"/>
        <v/>
      </c>
      <c r="AZ23" s="399"/>
      <c r="BA23" s="417">
        <f t="shared" si="13"/>
        <v>0</v>
      </c>
      <c r="BB23" s="131">
        <f t="shared" si="14"/>
        <v>0</v>
      </c>
      <c r="BC23" s="131">
        <f t="shared" si="15"/>
        <v>0</v>
      </c>
      <c r="BD23" s="228" t="str">
        <f t="shared" si="72"/>
        <v/>
      </c>
      <c r="BE23" s="228">
        <f t="shared" si="73"/>
        <v>0</v>
      </c>
      <c r="BF23" s="761" t="str">
        <f>IF('Project Info'!$D$7="TX",INDEX(EFLH!$U$4:$U$31,MATCH(C23,TX_EFLHSanAntonio[Building Type],0),1),'Project Info'!$D$7&amp;"EquipmentType")</f>
        <v>EquipmentType</v>
      </c>
      <c r="BG23" s="229">
        <f t="shared" si="17"/>
        <v>0</v>
      </c>
      <c r="BH23" s="229">
        <f t="shared" si="18"/>
        <v>0</v>
      </c>
      <c r="BI23" s="229">
        <f t="shared" si="19"/>
        <v>0</v>
      </c>
      <c r="BJ23" s="230" t="e">
        <f>HLOOKUP(BI23,'Equipment Lookups'!$L$4:$AE$55,VLOOKUP(Inventory!BL23,'Equipment Lookups'!$J$5:$K$55,2,FALSE),TRUE)</f>
        <v>#N/A</v>
      </c>
      <c r="BK23" s="231" t="str" cm="1">
        <f t="array" ref="BK23">IF(L23="","",MAX(IF(L23="Unknown",ProgramYear-INDEX('Equipment Lookups'!$AF$5:$AF$38,MATCH(Inventory!BL23,'Equipment Lookups'!$J$5:$J$38,0)),_xlfn.NUMBERVALUE(RIGHT(L23,4))),INDEX(BaselineRow,1)))</f>
        <v/>
      </c>
      <c r="BL23" s="232" t="str">
        <f t="shared" si="74"/>
        <v/>
      </c>
      <c r="BM23" s="232" t="e">
        <f t="shared" si="20"/>
        <v>#N/A</v>
      </c>
      <c r="BN23" s="229">
        <f t="shared" si="95"/>
        <v>0</v>
      </c>
      <c r="BO23" s="229">
        <f t="shared" si="102"/>
        <v>0</v>
      </c>
      <c r="BP23" s="229">
        <f t="shared" si="96"/>
        <v>0</v>
      </c>
      <c r="BQ23" s="229">
        <f t="shared" si="75"/>
        <v>0</v>
      </c>
      <c r="BR23" s="229" t="e">
        <f>HLOOKUP(BP23,'Equipment Lookups'!$L$4:$AE$55,VLOOKUP(Inventory!BS23,'Equipment Lookups'!$J$5:$K$55,2,FALSE),TRUE)</f>
        <v>#N/A</v>
      </c>
      <c r="BS23" s="232" t="str">
        <f t="shared" si="76"/>
        <v/>
      </c>
      <c r="BT23" s="232" t="e">
        <f t="shared" si="22"/>
        <v>#N/A</v>
      </c>
      <c r="BU23" s="230" t="e">
        <f>INDEX('Equipment Lookups'!$AG$5:$AG$55,MATCH(Inventory!BS23,'Equipment Lookups'!$J$5:$J$55,0))</f>
        <v>#N/A</v>
      </c>
      <c r="BV23" s="568" t="str">
        <f ca="1">IFERROR(IF(AL23&lt;&gt;"",AL23,IF(State="TX",INDEX(TX_EFLHSanAntonio[[CFAir Cooled Chiller]:[CFPTRoom]],MATCH(Inventory!C23,TX_EFLHSanAntonio[Building Type],0),MATCH(BU23,EFLH!$G$2:$J$2,0)),VLOOKUP(C23,INDIRECT($BY$5),4,FALSE))),"-")</f>
        <v>-</v>
      </c>
      <c r="BW23" s="580" t="str">
        <f ca="1">IFERROR(IF(AJ23&lt;&gt;"",AJ23,IF(State="TX",INDEX(TX_EFLHSanAntonio[[EFLHcAir Cooled Chiller]:[EFLHcPTRoom]],MATCH(Inventory!C23,TX_EFLHSanAntonio[Building Type],0),MATCH(BU23,EFLH!$O$2:$R$2,0)),VLOOKUP(C23,INDIRECT($BY$5),2,FALSE))),"-")</f>
        <v>-</v>
      </c>
      <c r="BX23" s="581" t="str">
        <f ca="1">IFERROR(IF(AK23&lt;&gt;"",AK23,IF(State="TX",INDEX(TX_EFLHSanAntonio[[EFLHhDX]:[EFLHhPTRoom]],MATCH(Inventory!C23,TX_EFLHSanAntonio[Building Type],0),MATCH(BU23,EFLH!$S$2:$T$2,0)),VLOOKUP(C23,INDIRECT($BY$5),3,FALSE))),"-")</f>
        <v>-</v>
      </c>
      <c r="BY23" s="565">
        <f>IF(AM23&lt;&gt;"",AM23,IF(State="TX",INDEX(TX_EFLHSanAntonio[[NCPAir Cooled Chiller]:[NCPPTRoom]],MATCH(Inventory!C23,TX_EFLHSanAntonio[Building Type],0),MATCH(BU23,EFLH!$K$2:$N$2,0)),0))</f>
        <v>0</v>
      </c>
      <c r="BZ23" s="598" t="e">
        <f t="shared" ca="1" si="23"/>
        <v>#N/A</v>
      </c>
      <c r="CA23" s="599" t="e">
        <f t="shared" ca="1" si="24"/>
        <v>#N/A</v>
      </c>
      <c r="CB23" s="599" t="str">
        <f t="shared" ca="1" si="25"/>
        <v/>
      </c>
      <c r="CC23" s="599" t="e">
        <f t="shared" ca="1" si="26"/>
        <v>#N/A</v>
      </c>
      <c r="CD23" s="599" t="e">
        <f t="shared" ca="1" si="27"/>
        <v>#N/A</v>
      </c>
      <c r="CE23" s="599" t="str">
        <f t="shared" ca="1" si="28"/>
        <v/>
      </c>
      <c r="CF23" s="599" t="b">
        <f t="shared" si="29"/>
        <v>0</v>
      </c>
      <c r="CG23" s="599" t="e">
        <f t="shared" ca="1" si="30"/>
        <v>#N/A</v>
      </c>
      <c r="CH23" s="599" t="e">
        <f t="shared" ca="1" si="31"/>
        <v>#N/A</v>
      </c>
      <c r="CI23" s="599" t="str">
        <f t="shared" ca="1" si="32"/>
        <v/>
      </c>
      <c r="CJ23" s="599" t="str">
        <f t="shared" si="33"/>
        <v/>
      </c>
      <c r="CK23" s="599" t="str">
        <f t="shared" si="34"/>
        <v/>
      </c>
      <c r="CL23" s="600" t="str">
        <f t="shared" si="35"/>
        <v/>
      </c>
      <c r="CM23" s="228" t="e">
        <f t="shared" ca="1" si="36"/>
        <v>#N/A</v>
      </c>
      <c r="CN23" s="228" t="e">
        <f t="shared" ca="1" si="37"/>
        <v>#N/A</v>
      </c>
      <c r="CO23" s="232" t="e">
        <f t="shared" ca="1" si="38"/>
        <v>#N/A</v>
      </c>
      <c r="CP23" s="232">
        <f t="shared" ca="1" si="39"/>
        <v>0</v>
      </c>
      <c r="CQ23" s="228" t="e">
        <f t="shared" ca="1" si="40"/>
        <v>#N/A</v>
      </c>
      <c r="CR23" s="228" t="e">
        <f t="shared" ca="1" si="41"/>
        <v>#N/A</v>
      </c>
      <c r="CS23" s="232" t="e">
        <f t="shared" ca="1" si="42"/>
        <v>#N/A</v>
      </c>
      <c r="CT23" s="232" t="e">
        <f t="shared" ca="1" si="43"/>
        <v>#VALUE!</v>
      </c>
      <c r="CU23" s="228" t="e">
        <f t="shared" ca="1" si="44"/>
        <v>#N/A</v>
      </c>
      <c r="CV23" s="228" t="e">
        <f t="shared" ca="1" si="45"/>
        <v>#N/A</v>
      </c>
      <c r="CW23" s="232" t="e">
        <f t="shared" ca="1" si="46"/>
        <v>#N/A</v>
      </c>
      <c r="CX23" s="237" t="e">
        <f t="shared" ca="1" si="47"/>
        <v>#VALUE!</v>
      </c>
      <c r="CY23" s="233">
        <f t="shared" si="77"/>
        <v>0</v>
      </c>
      <c r="CZ23" s="233">
        <f t="shared" si="78"/>
        <v>0</v>
      </c>
      <c r="DA23" s="246">
        <f t="shared" si="79"/>
        <v>0</v>
      </c>
      <c r="DB23" s="246">
        <f t="shared" si="80"/>
        <v>0</v>
      </c>
      <c r="DC23" s="562" t="e">
        <f>INDEX('Utility Admin'!$P$2:$AD$2,1,MATCH($Q23,'Utility Admin'!$P$3:$AD$3,0))</f>
        <v>#N/A</v>
      </c>
      <c r="DD23" s="131" t="e">
        <f>INDEX('Utility Admin'!AE$2:AS$2,1,MATCH($Q23,'Utility Admin'!$P$3:$AD$3,0))</f>
        <v>#N/A</v>
      </c>
      <c r="DE23" s="239" t="e">
        <f>IF(kWhOverride="",INDEX('Utility Admin'!$AT$2:$BH$2,1,MATCH($Q23,'Utility Admin'!$P$3:$AD$3,0)),kWhOverride)</f>
        <v>#N/A</v>
      </c>
      <c r="DF23" s="230" t="str" cm="1">
        <f t="array" ref="DF23">IF(B23="New Construction","",IF(L23="","",MAX(ProgramYear-BK23,1,)))</f>
        <v/>
      </c>
      <c r="DG23" s="234" t="e">
        <f>INDEX('Equipment Lookups'!$AI$5:$BV$55,MATCH(Inventory!BL23,'Equipment Lookups'!$J$5:$J$55,0),MATCH(Inventory!DF23,'Equipment Lookups'!$AI$4:$BV$4,0))</f>
        <v>#N/A</v>
      </c>
      <c r="DH23" s="230" t="e">
        <f>INDEX('Equipment Lookups'!$AH$5:$AH$55,MATCH(Inventory!BS23,'Equipment Lookups'!$J$5:$J$55,0))</f>
        <v>#N/A</v>
      </c>
      <c r="DI23" s="131" t="e">
        <f t="shared" si="81"/>
        <v>#N/A</v>
      </c>
      <c r="DJ23" s="131" t="e">
        <f t="shared" ca="1" si="82"/>
        <v>#N/A</v>
      </c>
      <c r="DK23" s="131" t="e">
        <f t="shared" ca="1" si="83"/>
        <v>#N/A</v>
      </c>
      <c r="DL23" s="131" t="e">
        <f t="shared" ca="1" si="84"/>
        <v>#N/A</v>
      </c>
      <c r="DM23" s="131" t="e">
        <f t="shared" ca="1" si="85"/>
        <v>#N/A</v>
      </c>
      <c r="DN23" s="131" t="e">
        <f t="shared" ca="1" si="86"/>
        <v>#N/A</v>
      </c>
      <c r="DO23" s="131" t="e">
        <f t="shared" ca="1" si="87"/>
        <v>#N/A</v>
      </c>
      <c r="DP23" s="131" t="e">
        <f t="shared" ca="1" si="97"/>
        <v>#N/A</v>
      </c>
      <c r="DQ23" s="131" t="e">
        <f t="shared" ca="1" si="98"/>
        <v>#N/A</v>
      </c>
      <c r="DR23" s="131" t="e">
        <f t="shared" ca="1" si="88"/>
        <v>#N/A</v>
      </c>
      <c r="DS23" s="131" t="e">
        <f t="shared" ca="1" si="89"/>
        <v>#N/A</v>
      </c>
      <c r="DT23" s="131" t="e">
        <f t="shared" ca="1" si="90"/>
        <v>#N/A</v>
      </c>
      <c r="DU23" s="131" t="e">
        <f t="shared" ca="1" si="99"/>
        <v>#N/A</v>
      </c>
      <c r="DV23" s="131" t="e">
        <f t="shared" si="91"/>
        <v>#N/A</v>
      </c>
      <c r="DW23" s="131" t="e">
        <f t="shared" si="100"/>
        <v>#N/A</v>
      </c>
      <c r="DX23" s="131" t="e">
        <f t="shared" ca="1" si="92"/>
        <v>#N/A</v>
      </c>
      <c r="DY23" s="131" t="e">
        <f t="shared" ca="1" si="93"/>
        <v>#N/A</v>
      </c>
      <c r="DZ23" s="131" t="e">
        <f t="shared" ca="1" si="94"/>
        <v>#N/A</v>
      </c>
      <c r="EA23" s="131" t="e">
        <f t="shared" ca="1" si="101"/>
        <v>#N/A</v>
      </c>
      <c r="EB23" s="250">
        <f t="shared" ca="1" si="64"/>
        <v>0</v>
      </c>
      <c r="EC23" s="131">
        <f t="shared" ca="1" si="65"/>
        <v>0</v>
      </c>
      <c r="ED23" s="131">
        <f t="shared" ca="1" si="66"/>
        <v>0</v>
      </c>
    </row>
    <row r="24" spans="1:134" ht="30" customHeight="1" x14ac:dyDescent="0.25">
      <c r="A24" s="128">
        <v>17</v>
      </c>
      <c r="B24" s="481"/>
      <c r="C24" s="113"/>
      <c r="D24" s="480"/>
      <c r="E24" s="480"/>
      <c r="F24" s="285"/>
      <c r="G24" s="284"/>
      <c r="H24" s="287"/>
      <c r="I24" s="521" t="str">
        <f t="shared" si="1"/>
        <v/>
      </c>
      <c r="J24" s="110"/>
      <c r="K24" s="110"/>
      <c r="L24" s="114"/>
      <c r="M24" s="498"/>
      <c r="N24" s="633"/>
      <c r="O24" s="111"/>
      <c r="P24" s="111"/>
      <c r="Q24" s="110"/>
      <c r="R24" s="288"/>
      <c r="S24" s="494" t="str">
        <f t="shared" si="2"/>
        <v/>
      </c>
      <c r="T24" s="288"/>
      <c r="U24" s="494" t="str">
        <f t="shared" si="3"/>
        <v/>
      </c>
      <c r="V24" s="110"/>
      <c r="W24" s="110"/>
      <c r="X24" s="546" t="str">
        <f t="shared" si="4"/>
        <v/>
      </c>
      <c r="Y24" s="110"/>
      <c r="Z24" s="110"/>
      <c r="AA24" s="112"/>
      <c r="AB24" s="112"/>
      <c r="AC24" s="639" t="str">
        <f t="shared" si="5"/>
        <v/>
      </c>
      <c r="AD24" s="112"/>
      <c r="AE24" s="496" t="str">
        <f t="shared" si="6"/>
        <v/>
      </c>
      <c r="AF24" s="482"/>
      <c r="AG24" s="533"/>
      <c r="AH24" s="534"/>
      <c r="AI24" s="538"/>
      <c r="AJ24" s="409"/>
      <c r="AK24" s="409"/>
      <c r="AL24" s="112"/>
      <c r="AM24" s="679"/>
      <c r="AN24" s="683">
        <f t="shared" si="67"/>
        <v>0</v>
      </c>
      <c r="AO24" s="681">
        <f t="shared" si="68"/>
        <v>0</v>
      </c>
      <c r="AP24" s="223">
        <f t="shared" si="7"/>
        <v>0</v>
      </c>
      <c r="AQ24" s="224">
        <f>IFERROR(IF($AR$3&lt;'Utility Admin'!$I$2,AR24,'Utility Admin'!$I$2/Inventory!$AR$3*AR24),0)</f>
        <v>0</v>
      </c>
      <c r="AR24" s="602">
        <f t="shared" si="8"/>
        <v>0</v>
      </c>
      <c r="AS24" s="604">
        <f t="shared" si="69"/>
        <v>0</v>
      </c>
      <c r="AT24" s="225"/>
      <c r="AU24" s="511" t="str">
        <f t="shared" si="10"/>
        <v/>
      </c>
      <c r="AV24" s="545" t="str">
        <f t="shared" si="11"/>
        <v/>
      </c>
      <c r="AW24" s="129" t="str">
        <f t="shared" si="70"/>
        <v/>
      </c>
      <c r="AX24" s="542" t="str">
        <f t="shared" si="12"/>
        <v/>
      </c>
      <c r="AY24" s="130" t="str">
        <f t="shared" si="71"/>
        <v/>
      </c>
      <c r="AZ24" s="399"/>
      <c r="BA24" s="417">
        <f t="shared" si="13"/>
        <v>0</v>
      </c>
      <c r="BB24" s="131">
        <f t="shared" si="14"/>
        <v>0</v>
      </c>
      <c r="BC24" s="131">
        <f t="shared" si="15"/>
        <v>0</v>
      </c>
      <c r="BD24" s="228" t="str">
        <f t="shared" si="72"/>
        <v/>
      </c>
      <c r="BE24" s="228">
        <f t="shared" si="73"/>
        <v>0</v>
      </c>
      <c r="BF24" s="761" t="str">
        <f>IF('Project Info'!$D$7="TX",INDEX(EFLH!$U$4:$U$31,MATCH(C24,TX_EFLHSanAntonio[Building Type],0),1),'Project Info'!$D$7&amp;"EquipmentType")</f>
        <v>EquipmentType</v>
      </c>
      <c r="BG24" s="229">
        <f t="shared" si="17"/>
        <v>0</v>
      </c>
      <c r="BH24" s="229">
        <f t="shared" si="18"/>
        <v>0</v>
      </c>
      <c r="BI24" s="229">
        <f t="shared" si="19"/>
        <v>0</v>
      </c>
      <c r="BJ24" s="230" t="e">
        <f>HLOOKUP(BI24,'Equipment Lookups'!$L$4:$AE$55,VLOOKUP(Inventory!BL24,'Equipment Lookups'!$J$5:$K$55,2,FALSE),TRUE)</f>
        <v>#N/A</v>
      </c>
      <c r="BK24" s="231" t="str" cm="1">
        <f t="array" ref="BK24">IF(L24="","",MAX(IF(L24="Unknown",ProgramYear-INDEX('Equipment Lookups'!$AF$5:$AF$38,MATCH(Inventory!BL24,'Equipment Lookups'!$J$5:$J$38,0)),_xlfn.NUMBERVALUE(RIGHT(L24,4))),INDEX(BaselineRow,1)))</f>
        <v/>
      </c>
      <c r="BL24" s="232" t="str">
        <f t="shared" si="74"/>
        <v/>
      </c>
      <c r="BM24" s="232" t="e">
        <f t="shared" si="20"/>
        <v>#N/A</v>
      </c>
      <c r="BN24" s="229">
        <f t="shared" si="95"/>
        <v>0</v>
      </c>
      <c r="BO24" s="229">
        <f t="shared" si="102"/>
        <v>0</v>
      </c>
      <c r="BP24" s="229">
        <f t="shared" si="96"/>
        <v>0</v>
      </c>
      <c r="BQ24" s="229">
        <f t="shared" si="75"/>
        <v>0</v>
      </c>
      <c r="BR24" s="229" t="e">
        <f>HLOOKUP(BP24,'Equipment Lookups'!$L$4:$AE$55,VLOOKUP(Inventory!BS24,'Equipment Lookups'!$J$5:$K$55,2,FALSE),TRUE)</f>
        <v>#N/A</v>
      </c>
      <c r="BS24" s="232" t="str">
        <f t="shared" si="76"/>
        <v/>
      </c>
      <c r="BT24" s="232" t="e">
        <f t="shared" si="22"/>
        <v>#N/A</v>
      </c>
      <c r="BU24" s="230" t="e">
        <f>INDEX('Equipment Lookups'!$AG$5:$AG$55,MATCH(Inventory!BS24,'Equipment Lookups'!$J$5:$J$55,0))</f>
        <v>#N/A</v>
      </c>
      <c r="BV24" s="568" t="str">
        <f ca="1">IFERROR(IF(AL24&lt;&gt;"",AL24,IF(State="TX",INDEX(TX_EFLHSanAntonio[[CFAir Cooled Chiller]:[CFPTRoom]],MATCH(Inventory!C24,TX_EFLHSanAntonio[Building Type],0),MATCH(BU24,EFLH!$G$2:$J$2,0)),VLOOKUP(C24,INDIRECT($BY$5),4,FALSE))),"-")</f>
        <v>-</v>
      </c>
      <c r="BW24" s="580" t="str">
        <f ca="1">IFERROR(IF(AJ24&lt;&gt;"",AJ24,IF(State="TX",INDEX(TX_EFLHSanAntonio[[EFLHcAir Cooled Chiller]:[EFLHcPTRoom]],MATCH(Inventory!C24,TX_EFLHSanAntonio[Building Type],0),MATCH(BU24,EFLH!$O$2:$R$2,0)),VLOOKUP(C24,INDIRECT($BY$5),2,FALSE))),"-")</f>
        <v>-</v>
      </c>
      <c r="BX24" s="581" t="str">
        <f ca="1">IFERROR(IF(AK24&lt;&gt;"",AK24,IF(State="TX",INDEX(TX_EFLHSanAntonio[[EFLHhDX]:[EFLHhPTRoom]],MATCH(Inventory!C24,TX_EFLHSanAntonio[Building Type],0),MATCH(BU24,EFLH!$S$2:$T$2,0)),VLOOKUP(C24,INDIRECT($BY$5),3,FALSE))),"-")</f>
        <v>-</v>
      </c>
      <c r="BY24" s="565">
        <f>IF(AM24&lt;&gt;"",AM24,IF(State="TX",INDEX(TX_EFLHSanAntonio[[NCPAir Cooled Chiller]:[NCPPTRoom]],MATCH(Inventory!C24,TX_EFLHSanAntonio[Building Type],0),MATCH(BU24,EFLH!$K$2:$N$2,0)),0))</f>
        <v>0</v>
      </c>
      <c r="BZ24" s="598" t="e">
        <f t="shared" ca="1" si="23"/>
        <v>#N/A</v>
      </c>
      <c r="CA24" s="599" t="e">
        <f t="shared" ca="1" si="24"/>
        <v>#N/A</v>
      </c>
      <c r="CB24" s="599" t="str">
        <f t="shared" ca="1" si="25"/>
        <v/>
      </c>
      <c r="CC24" s="599" t="e">
        <f t="shared" ca="1" si="26"/>
        <v>#N/A</v>
      </c>
      <c r="CD24" s="599" t="e">
        <f t="shared" ca="1" si="27"/>
        <v>#N/A</v>
      </c>
      <c r="CE24" s="599" t="str">
        <f t="shared" ca="1" si="28"/>
        <v/>
      </c>
      <c r="CF24" s="599" t="b">
        <f t="shared" si="29"/>
        <v>0</v>
      </c>
      <c r="CG24" s="599" t="e">
        <f t="shared" ca="1" si="30"/>
        <v>#N/A</v>
      </c>
      <c r="CH24" s="599" t="e">
        <f t="shared" ca="1" si="31"/>
        <v>#N/A</v>
      </c>
      <c r="CI24" s="599" t="str">
        <f t="shared" ca="1" si="32"/>
        <v/>
      </c>
      <c r="CJ24" s="599" t="str">
        <f t="shared" si="33"/>
        <v/>
      </c>
      <c r="CK24" s="599" t="str">
        <f t="shared" si="34"/>
        <v/>
      </c>
      <c r="CL24" s="600" t="str">
        <f t="shared" si="35"/>
        <v/>
      </c>
      <c r="CM24" s="228" t="e">
        <f t="shared" ca="1" si="36"/>
        <v>#N/A</v>
      </c>
      <c r="CN24" s="228" t="e">
        <f t="shared" ca="1" si="37"/>
        <v>#N/A</v>
      </c>
      <c r="CO24" s="232" t="e">
        <f t="shared" ca="1" si="38"/>
        <v>#N/A</v>
      </c>
      <c r="CP24" s="232">
        <f t="shared" ca="1" si="39"/>
        <v>0</v>
      </c>
      <c r="CQ24" s="228" t="e">
        <f t="shared" ca="1" si="40"/>
        <v>#N/A</v>
      </c>
      <c r="CR24" s="228" t="e">
        <f t="shared" ca="1" si="41"/>
        <v>#N/A</v>
      </c>
      <c r="CS24" s="232" t="e">
        <f t="shared" ca="1" si="42"/>
        <v>#N/A</v>
      </c>
      <c r="CT24" s="232" t="e">
        <f t="shared" ca="1" si="43"/>
        <v>#VALUE!</v>
      </c>
      <c r="CU24" s="228" t="e">
        <f t="shared" ca="1" si="44"/>
        <v>#N/A</v>
      </c>
      <c r="CV24" s="228" t="e">
        <f t="shared" ca="1" si="45"/>
        <v>#N/A</v>
      </c>
      <c r="CW24" s="232" t="e">
        <f t="shared" ca="1" si="46"/>
        <v>#N/A</v>
      </c>
      <c r="CX24" s="237" t="e">
        <f t="shared" ca="1" si="47"/>
        <v>#VALUE!</v>
      </c>
      <c r="CY24" s="233">
        <f t="shared" si="77"/>
        <v>0</v>
      </c>
      <c r="CZ24" s="233">
        <f t="shared" si="78"/>
        <v>0</v>
      </c>
      <c r="DA24" s="246">
        <f t="shared" si="79"/>
        <v>0</v>
      </c>
      <c r="DB24" s="246">
        <f t="shared" si="80"/>
        <v>0</v>
      </c>
      <c r="DC24" s="562" t="e">
        <f>INDEX('Utility Admin'!$P$2:$AD$2,1,MATCH($Q24,'Utility Admin'!$P$3:$AD$3,0))</f>
        <v>#N/A</v>
      </c>
      <c r="DD24" s="131" t="e">
        <f>INDEX('Utility Admin'!AE$2:AS$2,1,MATCH($Q24,'Utility Admin'!$P$3:$AD$3,0))</f>
        <v>#N/A</v>
      </c>
      <c r="DE24" s="239" t="e">
        <f>IF(kWhOverride="",INDEX('Utility Admin'!$AT$2:$BH$2,1,MATCH($Q24,'Utility Admin'!$P$3:$AD$3,0)),kWhOverride)</f>
        <v>#N/A</v>
      </c>
      <c r="DF24" s="230" t="str" cm="1">
        <f t="array" ref="DF24">IF(B24="New Construction","",IF(L24="","",MAX(ProgramYear-BK24,1,)))</f>
        <v/>
      </c>
      <c r="DG24" s="234" t="e">
        <f>INDEX('Equipment Lookups'!$AI$5:$BV$55,MATCH(Inventory!BL24,'Equipment Lookups'!$J$5:$J$55,0),MATCH(Inventory!DF24,'Equipment Lookups'!$AI$4:$BV$4,0))</f>
        <v>#N/A</v>
      </c>
      <c r="DH24" s="230" t="e">
        <f>INDEX('Equipment Lookups'!$AH$5:$AH$55,MATCH(Inventory!BS24,'Equipment Lookups'!$J$5:$J$55,0))</f>
        <v>#N/A</v>
      </c>
      <c r="DI24" s="131" t="e">
        <f t="shared" si="81"/>
        <v>#N/A</v>
      </c>
      <c r="DJ24" s="131" t="e">
        <f t="shared" ca="1" si="82"/>
        <v>#N/A</v>
      </c>
      <c r="DK24" s="131" t="e">
        <f t="shared" ca="1" si="83"/>
        <v>#N/A</v>
      </c>
      <c r="DL24" s="131" t="e">
        <f t="shared" ca="1" si="84"/>
        <v>#N/A</v>
      </c>
      <c r="DM24" s="131" t="e">
        <f t="shared" ca="1" si="85"/>
        <v>#N/A</v>
      </c>
      <c r="DN24" s="131" t="e">
        <f t="shared" ca="1" si="86"/>
        <v>#N/A</v>
      </c>
      <c r="DO24" s="131" t="e">
        <f t="shared" ca="1" si="87"/>
        <v>#N/A</v>
      </c>
      <c r="DP24" s="131" t="e">
        <f t="shared" ca="1" si="97"/>
        <v>#N/A</v>
      </c>
      <c r="DQ24" s="131" t="e">
        <f t="shared" ca="1" si="98"/>
        <v>#N/A</v>
      </c>
      <c r="DR24" s="131" t="e">
        <f t="shared" ca="1" si="88"/>
        <v>#N/A</v>
      </c>
      <c r="DS24" s="131" t="e">
        <f t="shared" ca="1" si="89"/>
        <v>#N/A</v>
      </c>
      <c r="DT24" s="131" t="e">
        <f t="shared" ca="1" si="90"/>
        <v>#N/A</v>
      </c>
      <c r="DU24" s="131" t="e">
        <f t="shared" ca="1" si="99"/>
        <v>#N/A</v>
      </c>
      <c r="DV24" s="131" t="e">
        <f t="shared" si="91"/>
        <v>#N/A</v>
      </c>
      <c r="DW24" s="131" t="e">
        <f t="shared" si="100"/>
        <v>#N/A</v>
      </c>
      <c r="DX24" s="131" t="e">
        <f t="shared" ca="1" si="92"/>
        <v>#N/A</v>
      </c>
      <c r="DY24" s="131" t="e">
        <f t="shared" ca="1" si="93"/>
        <v>#N/A</v>
      </c>
      <c r="DZ24" s="131" t="e">
        <f t="shared" ca="1" si="94"/>
        <v>#N/A</v>
      </c>
      <c r="EA24" s="131" t="e">
        <f t="shared" ca="1" si="101"/>
        <v>#N/A</v>
      </c>
      <c r="EB24" s="250">
        <f t="shared" ca="1" si="64"/>
        <v>0</v>
      </c>
      <c r="EC24" s="131">
        <f t="shared" ca="1" si="65"/>
        <v>0</v>
      </c>
      <c r="ED24" s="131">
        <f t="shared" ca="1" si="66"/>
        <v>0</v>
      </c>
    </row>
    <row r="25" spans="1:134" ht="30" customHeight="1" x14ac:dyDescent="0.25">
      <c r="A25" s="132">
        <v>18</v>
      </c>
      <c r="B25" s="481"/>
      <c r="C25" s="113"/>
      <c r="D25" s="480"/>
      <c r="E25" s="480"/>
      <c r="F25" s="285"/>
      <c r="G25" s="284"/>
      <c r="H25" s="287"/>
      <c r="I25" s="521" t="str">
        <f t="shared" si="1"/>
        <v/>
      </c>
      <c r="J25" s="110"/>
      <c r="K25" s="110"/>
      <c r="L25" s="114"/>
      <c r="M25" s="498"/>
      <c r="N25" s="633"/>
      <c r="O25" s="111"/>
      <c r="P25" s="111"/>
      <c r="Q25" s="110"/>
      <c r="R25" s="288"/>
      <c r="S25" s="494" t="str">
        <f t="shared" si="2"/>
        <v/>
      </c>
      <c r="T25" s="288"/>
      <c r="U25" s="494" t="str">
        <f t="shared" si="3"/>
        <v/>
      </c>
      <c r="V25" s="110"/>
      <c r="W25" s="110"/>
      <c r="X25" s="546" t="str">
        <f t="shared" si="4"/>
        <v/>
      </c>
      <c r="Y25" s="110"/>
      <c r="Z25" s="110"/>
      <c r="AA25" s="112"/>
      <c r="AB25" s="112"/>
      <c r="AC25" s="639" t="str">
        <f t="shared" si="5"/>
        <v/>
      </c>
      <c r="AD25" s="112"/>
      <c r="AE25" s="496" t="str">
        <f t="shared" si="6"/>
        <v/>
      </c>
      <c r="AF25" s="482"/>
      <c r="AG25" s="533"/>
      <c r="AH25" s="534"/>
      <c r="AI25" s="538"/>
      <c r="AJ25" s="409"/>
      <c r="AK25" s="409"/>
      <c r="AL25" s="112"/>
      <c r="AM25" s="679"/>
      <c r="AN25" s="683">
        <f t="shared" si="67"/>
        <v>0</v>
      </c>
      <c r="AO25" s="681">
        <f t="shared" si="68"/>
        <v>0</v>
      </c>
      <c r="AP25" s="223">
        <f t="shared" si="7"/>
        <v>0</v>
      </c>
      <c r="AQ25" s="224">
        <f>IFERROR(IF($AR$3&lt;'Utility Admin'!$I$2,AR25,'Utility Admin'!$I$2/Inventory!$AR$3*AR25),0)</f>
        <v>0</v>
      </c>
      <c r="AR25" s="602">
        <f t="shared" si="8"/>
        <v>0</v>
      </c>
      <c r="AS25" s="604">
        <f t="shared" si="69"/>
        <v>0</v>
      </c>
      <c r="AT25" s="225"/>
      <c r="AU25" s="511" t="str">
        <f t="shared" si="10"/>
        <v/>
      </c>
      <c r="AV25" s="545" t="str">
        <f t="shared" si="11"/>
        <v/>
      </c>
      <c r="AW25" s="129" t="str">
        <f t="shared" si="70"/>
        <v/>
      </c>
      <c r="AX25" s="542" t="str">
        <f t="shared" si="12"/>
        <v/>
      </c>
      <c r="AY25" s="130" t="str">
        <f t="shared" si="71"/>
        <v/>
      </c>
      <c r="AZ25" s="399"/>
      <c r="BA25" s="417">
        <f t="shared" si="13"/>
        <v>0</v>
      </c>
      <c r="BB25" s="131">
        <f t="shared" si="14"/>
        <v>0</v>
      </c>
      <c r="BC25" s="131">
        <f t="shared" si="15"/>
        <v>0</v>
      </c>
      <c r="BD25" s="228" t="str">
        <f t="shared" si="72"/>
        <v/>
      </c>
      <c r="BE25" s="228">
        <f t="shared" si="73"/>
        <v>0</v>
      </c>
      <c r="BF25" s="761" t="str">
        <f>IF('Project Info'!$D$7="TX",INDEX(EFLH!$U$4:$U$31,MATCH(C25,TX_EFLHSanAntonio[Building Type],0),1),'Project Info'!$D$7&amp;"EquipmentType")</f>
        <v>EquipmentType</v>
      </c>
      <c r="BG25" s="229">
        <f t="shared" si="17"/>
        <v>0</v>
      </c>
      <c r="BH25" s="229">
        <f t="shared" si="18"/>
        <v>0</v>
      </c>
      <c r="BI25" s="229">
        <f t="shared" si="19"/>
        <v>0</v>
      </c>
      <c r="BJ25" s="230" t="e">
        <f>HLOOKUP(BI25,'Equipment Lookups'!$L$4:$AE$55,VLOOKUP(Inventory!BL25,'Equipment Lookups'!$J$5:$K$55,2,FALSE),TRUE)</f>
        <v>#N/A</v>
      </c>
      <c r="BK25" s="231" t="str" cm="1">
        <f t="array" ref="BK25">IF(L25="","",MAX(IF(L25="Unknown",ProgramYear-INDEX('Equipment Lookups'!$AF$5:$AF$38,MATCH(Inventory!BL25,'Equipment Lookups'!$J$5:$J$38,0)),_xlfn.NUMBERVALUE(RIGHT(L25,4))),INDEX(BaselineRow,1)))</f>
        <v/>
      </c>
      <c r="BL25" s="232" t="str">
        <f t="shared" si="74"/>
        <v/>
      </c>
      <c r="BM25" s="232" t="e">
        <f t="shared" si="20"/>
        <v>#N/A</v>
      </c>
      <c r="BN25" s="229">
        <f t="shared" si="95"/>
        <v>0</v>
      </c>
      <c r="BO25" s="229">
        <f t="shared" si="102"/>
        <v>0</v>
      </c>
      <c r="BP25" s="229">
        <f t="shared" si="96"/>
        <v>0</v>
      </c>
      <c r="BQ25" s="229">
        <f t="shared" si="75"/>
        <v>0</v>
      </c>
      <c r="BR25" s="229" t="e">
        <f>HLOOKUP(BP25,'Equipment Lookups'!$L$4:$AE$55,VLOOKUP(Inventory!BS25,'Equipment Lookups'!$J$5:$K$55,2,FALSE),TRUE)</f>
        <v>#N/A</v>
      </c>
      <c r="BS25" s="232" t="str">
        <f t="shared" si="76"/>
        <v/>
      </c>
      <c r="BT25" s="232" t="e">
        <f t="shared" si="22"/>
        <v>#N/A</v>
      </c>
      <c r="BU25" s="230" t="e">
        <f>INDEX('Equipment Lookups'!$AG$5:$AG$55,MATCH(Inventory!BS25,'Equipment Lookups'!$J$5:$J$55,0))</f>
        <v>#N/A</v>
      </c>
      <c r="BV25" s="568" t="str">
        <f ca="1">IFERROR(IF(AL25&lt;&gt;"",AL25,IF(State="TX",INDEX(TX_EFLHSanAntonio[[CFAir Cooled Chiller]:[CFPTRoom]],MATCH(Inventory!C25,TX_EFLHSanAntonio[Building Type],0),MATCH(BU25,EFLH!$G$2:$J$2,0)),VLOOKUP(C25,INDIRECT($BY$5),4,FALSE))),"-")</f>
        <v>-</v>
      </c>
      <c r="BW25" s="580" t="str">
        <f ca="1">IFERROR(IF(AJ25&lt;&gt;"",AJ25,IF(State="TX",INDEX(TX_EFLHSanAntonio[[EFLHcAir Cooled Chiller]:[EFLHcPTRoom]],MATCH(Inventory!C25,TX_EFLHSanAntonio[Building Type],0),MATCH(BU25,EFLH!$O$2:$R$2,0)),VLOOKUP(C25,INDIRECT($BY$5),2,FALSE))),"-")</f>
        <v>-</v>
      </c>
      <c r="BX25" s="581" t="str">
        <f ca="1">IFERROR(IF(AK25&lt;&gt;"",AK25,IF(State="TX",INDEX(TX_EFLHSanAntonio[[EFLHhDX]:[EFLHhPTRoom]],MATCH(Inventory!C25,TX_EFLHSanAntonio[Building Type],0),MATCH(BU25,EFLH!$S$2:$T$2,0)),VLOOKUP(C25,INDIRECT($BY$5),3,FALSE))),"-")</f>
        <v>-</v>
      </c>
      <c r="BY25" s="565">
        <f>IF(AM25&lt;&gt;"",AM25,IF(State="TX",INDEX(TX_EFLHSanAntonio[[NCPAir Cooled Chiller]:[NCPPTRoom]],MATCH(Inventory!C25,TX_EFLHSanAntonio[Building Type],0),MATCH(BU25,EFLH!$K$2:$N$2,0)),0))</f>
        <v>0</v>
      </c>
      <c r="BZ25" s="598" t="e">
        <f t="shared" ca="1" si="23"/>
        <v>#N/A</v>
      </c>
      <c r="CA25" s="599" t="e">
        <f t="shared" ca="1" si="24"/>
        <v>#N/A</v>
      </c>
      <c r="CB25" s="599" t="str">
        <f t="shared" ca="1" si="25"/>
        <v/>
      </c>
      <c r="CC25" s="599" t="e">
        <f t="shared" ca="1" si="26"/>
        <v>#N/A</v>
      </c>
      <c r="CD25" s="599" t="e">
        <f t="shared" ca="1" si="27"/>
        <v>#N/A</v>
      </c>
      <c r="CE25" s="599" t="str">
        <f t="shared" ca="1" si="28"/>
        <v/>
      </c>
      <c r="CF25" s="599" t="b">
        <f t="shared" si="29"/>
        <v>0</v>
      </c>
      <c r="CG25" s="599" t="e">
        <f t="shared" ca="1" si="30"/>
        <v>#N/A</v>
      </c>
      <c r="CH25" s="599" t="e">
        <f t="shared" ca="1" si="31"/>
        <v>#N/A</v>
      </c>
      <c r="CI25" s="599" t="str">
        <f t="shared" ca="1" si="32"/>
        <v/>
      </c>
      <c r="CJ25" s="599" t="str">
        <f t="shared" si="33"/>
        <v/>
      </c>
      <c r="CK25" s="599" t="str">
        <f t="shared" si="34"/>
        <v/>
      </c>
      <c r="CL25" s="600" t="str">
        <f t="shared" si="35"/>
        <v/>
      </c>
      <c r="CM25" s="228" t="e">
        <f t="shared" ca="1" si="36"/>
        <v>#N/A</v>
      </c>
      <c r="CN25" s="228" t="e">
        <f t="shared" ca="1" si="37"/>
        <v>#N/A</v>
      </c>
      <c r="CO25" s="232" t="e">
        <f t="shared" ca="1" si="38"/>
        <v>#N/A</v>
      </c>
      <c r="CP25" s="232">
        <f t="shared" ca="1" si="39"/>
        <v>0</v>
      </c>
      <c r="CQ25" s="228" t="e">
        <f t="shared" ca="1" si="40"/>
        <v>#N/A</v>
      </c>
      <c r="CR25" s="228" t="e">
        <f t="shared" ca="1" si="41"/>
        <v>#N/A</v>
      </c>
      <c r="CS25" s="232" t="e">
        <f t="shared" ca="1" si="42"/>
        <v>#N/A</v>
      </c>
      <c r="CT25" s="232" t="e">
        <f t="shared" ca="1" si="43"/>
        <v>#VALUE!</v>
      </c>
      <c r="CU25" s="228" t="e">
        <f t="shared" ca="1" si="44"/>
        <v>#N/A</v>
      </c>
      <c r="CV25" s="228" t="e">
        <f t="shared" ca="1" si="45"/>
        <v>#N/A</v>
      </c>
      <c r="CW25" s="232" t="e">
        <f t="shared" ca="1" si="46"/>
        <v>#N/A</v>
      </c>
      <c r="CX25" s="237" t="e">
        <f t="shared" ca="1" si="47"/>
        <v>#VALUE!</v>
      </c>
      <c r="CY25" s="233">
        <f t="shared" si="77"/>
        <v>0</v>
      </c>
      <c r="CZ25" s="233">
        <f t="shared" si="78"/>
        <v>0</v>
      </c>
      <c r="DA25" s="246">
        <f t="shared" si="79"/>
        <v>0</v>
      </c>
      <c r="DB25" s="246">
        <f t="shared" si="80"/>
        <v>0</v>
      </c>
      <c r="DC25" s="562" t="e">
        <f>INDEX('Utility Admin'!$P$2:$AD$2,1,MATCH($Q25,'Utility Admin'!$P$3:$AD$3,0))</f>
        <v>#N/A</v>
      </c>
      <c r="DD25" s="131" t="e">
        <f>INDEX('Utility Admin'!AE$2:AS$2,1,MATCH($Q25,'Utility Admin'!$P$3:$AD$3,0))</f>
        <v>#N/A</v>
      </c>
      <c r="DE25" s="239" t="e">
        <f>IF(kWhOverride="",INDEX('Utility Admin'!$AT$2:$BH$2,1,MATCH($Q25,'Utility Admin'!$P$3:$AD$3,0)),kWhOverride)</f>
        <v>#N/A</v>
      </c>
      <c r="DF25" s="230" t="str" cm="1">
        <f t="array" ref="DF25">IF(B25="New Construction","",IF(L25="","",MAX(ProgramYear-BK25,1,)))</f>
        <v/>
      </c>
      <c r="DG25" s="234" t="e">
        <f>INDEX('Equipment Lookups'!$AI$5:$BV$55,MATCH(Inventory!BL25,'Equipment Lookups'!$J$5:$J$55,0),MATCH(Inventory!DF25,'Equipment Lookups'!$AI$4:$BV$4,0))</f>
        <v>#N/A</v>
      </c>
      <c r="DH25" s="230" t="e">
        <f>INDEX('Equipment Lookups'!$AH$5:$AH$55,MATCH(Inventory!BS25,'Equipment Lookups'!$J$5:$J$55,0))</f>
        <v>#N/A</v>
      </c>
      <c r="DI25" s="131" t="e">
        <f t="shared" si="81"/>
        <v>#N/A</v>
      </c>
      <c r="DJ25" s="131" t="e">
        <f t="shared" ca="1" si="82"/>
        <v>#N/A</v>
      </c>
      <c r="DK25" s="131" t="e">
        <f t="shared" ca="1" si="83"/>
        <v>#N/A</v>
      </c>
      <c r="DL25" s="131" t="e">
        <f t="shared" ca="1" si="84"/>
        <v>#N/A</v>
      </c>
      <c r="DM25" s="131" t="e">
        <f t="shared" ca="1" si="85"/>
        <v>#N/A</v>
      </c>
      <c r="DN25" s="131" t="e">
        <f t="shared" ca="1" si="86"/>
        <v>#N/A</v>
      </c>
      <c r="DO25" s="131" t="e">
        <f t="shared" ca="1" si="87"/>
        <v>#N/A</v>
      </c>
      <c r="DP25" s="131" t="e">
        <f t="shared" ca="1" si="97"/>
        <v>#N/A</v>
      </c>
      <c r="DQ25" s="131" t="e">
        <f t="shared" ca="1" si="98"/>
        <v>#N/A</v>
      </c>
      <c r="DR25" s="131" t="e">
        <f t="shared" ca="1" si="88"/>
        <v>#N/A</v>
      </c>
      <c r="DS25" s="131" t="e">
        <f t="shared" ca="1" si="89"/>
        <v>#N/A</v>
      </c>
      <c r="DT25" s="131" t="e">
        <f t="shared" ca="1" si="90"/>
        <v>#N/A</v>
      </c>
      <c r="DU25" s="131" t="e">
        <f t="shared" ca="1" si="99"/>
        <v>#N/A</v>
      </c>
      <c r="DV25" s="131" t="e">
        <f t="shared" si="91"/>
        <v>#N/A</v>
      </c>
      <c r="DW25" s="131" t="e">
        <f t="shared" si="100"/>
        <v>#N/A</v>
      </c>
      <c r="DX25" s="131" t="e">
        <f t="shared" ca="1" si="92"/>
        <v>#N/A</v>
      </c>
      <c r="DY25" s="131" t="e">
        <f t="shared" ca="1" si="93"/>
        <v>#N/A</v>
      </c>
      <c r="DZ25" s="131" t="e">
        <f t="shared" ca="1" si="94"/>
        <v>#N/A</v>
      </c>
      <c r="EA25" s="131" t="e">
        <f t="shared" ca="1" si="101"/>
        <v>#N/A</v>
      </c>
      <c r="EB25" s="250">
        <f t="shared" ca="1" si="64"/>
        <v>0</v>
      </c>
      <c r="EC25" s="131">
        <f t="shared" ca="1" si="65"/>
        <v>0</v>
      </c>
      <c r="ED25" s="131">
        <f t="shared" ca="1" si="66"/>
        <v>0</v>
      </c>
    </row>
    <row r="26" spans="1:134" ht="30" customHeight="1" x14ac:dyDescent="0.25">
      <c r="A26" s="128">
        <v>19</v>
      </c>
      <c r="B26" s="481"/>
      <c r="C26" s="113"/>
      <c r="D26" s="480"/>
      <c r="E26" s="480"/>
      <c r="F26" s="285"/>
      <c r="G26" s="284"/>
      <c r="H26" s="287"/>
      <c r="I26" s="521" t="str">
        <f t="shared" si="1"/>
        <v/>
      </c>
      <c r="J26" s="110"/>
      <c r="K26" s="110"/>
      <c r="L26" s="114"/>
      <c r="M26" s="498"/>
      <c r="N26" s="633"/>
      <c r="O26" s="111"/>
      <c r="P26" s="111"/>
      <c r="Q26" s="110"/>
      <c r="R26" s="288"/>
      <c r="S26" s="494" t="str">
        <f t="shared" si="2"/>
        <v/>
      </c>
      <c r="T26" s="288"/>
      <c r="U26" s="494" t="str">
        <f t="shared" si="3"/>
        <v/>
      </c>
      <c r="V26" s="110"/>
      <c r="W26" s="110"/>
      <c r="X26" s="546" t="str">
        <f t="shared" si="4"/>
        <v/>
      </c>
      <c r="Y26" s="110"/>
      <c r="Z26" s="110"/>
      <c r="AA26" s="112"/>
      <c r="AB26" s="112"/>
      <c r="AC26" s="639" t="str">
        <f t="shared" si="5"/>
        <v/>
      </c>
      <c r="AD26" s="112"/>
      <c r="AE26" s="496" t="str">
        <f t="shared" si="6"/>
        <v/>
      </c>
      <c r="AF26" s="482"/>
      <c r="AG26" s="533"/>
      <c r="AH26" s="534"/>
      <c r="AI26" s="538"/>
      <c r="AJ26" s="409"/>
      <c r="AK26" s="409"/>
      <c r="AL26" s="112"/>
      <c r="AM26" s="679"/>
      <c r="AN26" s="683">
        <f t="shared" si="67"/>
        <v>0</v>
      </c>
      <c r="AO26" s="681">
        <f t="shared" si="68"/>
        <v>0</v>
      </c>
      <c r="AP26" s="223">
        <f t="shared" si="7"/>
        <v>0</v>
      </c>
      <c r="AQ26" s="224">
        <f>IFERROR(IF($AR$3&lt;'Utility Admin'!$I$2,AR26,'Utility Admin'!$I$2/Inventory!$AR$3*AR26),0)</f>
        <v>0</v>
      </c>
      <c r="AR26" s="602">
        <f t="shared" si="8"/>
        <v>0</v>
      </c>
      <c r="AS26" s="604">
        <f t="shared" si="69"/>
        <v>0</v>
      </c>
      <c r="AT26" s="225"/>
      <c r="AU26" s="511" t="str">
        <f t="shared" si="10"/>
        <v/>
      </c>
      <c r="AV26" s="545" t="str">
        <f t="shared" si="11"/>
        <v/>
      </c>
      <c r="AW26" s="129" t="str">
        <f t="shared" si="70"/>
        <v/>
      </c>
      <c r="AX26" s="542" t="str">
        <f t="shared" si="12"/>
        <v/>
      </c>
      <c r="AY26" s="130" t="str">
        <f t="shared" si="71"/>
        <v/>
      </c>
      <c r="AZ26" s="399"/>
      <c r="BA26" s="417">
        <f t="shared" si="13"/>
        <v>0</v>
      </c>
      <c r="BB26" s="131">
        <f t="shared" si="14"/>
        <v>0</v>
      </c>
      <c r="BC26" s="131">
        <f t="shared" si="15"/>
        <v>0</v>
      </c>
      <c r="BD26" s="228" t="str">
        <f t="shared" si="72"/>
        <v/>
      </c>
      <c r="BE26" s="228">
        <f t="shared" si="73"/>
        <v>0</v>
      </c>
      <c r="BF26" s="761" t="str">
        <f>IF('Project Info'!$D$7="TX",INDEX(EFLH!$U$4:$U$31,MATCH(C26,TX_EFLHSanAntonio[Building Type],0),1),'Project Info'!$D$7&amp;"EquipmentType")</f>
        <v>EquipmentType</v>
      </c>
      <c r="BG26" s="229">
        <f t="shared" si="17"/>
        <v>0</v>
      </c>
      <c r="BH26" s="229">
        <f t="shared" si="18"/>
        <v>0</v>
      </c>
      <c r="BI26" s="229">
        <f t="shared" si="19"/>
        <v>0</v>
      </c>
      <c r="BJ26" s="230" t="e">
        <f>HLOOKUP(BI26,'Equipment Lookups'!$L$4:$AE$55,VLOOKUP(Inventory!BL26,'Equipment Lookups'!$J$5:$K$55,2,FALSE),TRUE)</f>
        <v>#N/A</v>
      </c>
      <c r="BK26" s="231" t="str" cm="1">
        <f t="array" ref="BK26">IF(L26="","",MAX(IF(L26="Unknown",ProgramYear-INDEX('Equipment Lookups'!$AF$5:$AF$38,MATCH(Inventory!BL26,'Equipment Lookups'!$J$5:$J$38,0)),_xlfn.NUMBERVALUE(RIGHT(L26,4))),INDEX(BaselineRow,1)))</f>
        <v/>
      </c>
      <c r="BL26" s="232" t="str">
        <f t="shared" si="74"/>
        <v/>
      </c>
      <c r="BM26" s="232" t="e">
        <f t="shared" si="20"/>
        <v>#N/A</v>
      </c>
      <c r="BN26" s="229">
        <f t="shared" si="95"/>
        <v>0</v>
      </c>
      <c r="BO26" s="229">
        <f t="shared" si="102"/>
        <v>0</v>
      </c>
      <c r="BP26" s="229">
        <f t="shared" si="96"/>
        <v>0</v>
      </c>
      <c r="BQ26" s="229">
        <f t="shared" si="75"/>
        <v>0</v>
      </c>
      <c r="BR26" s="229" t="e">
        <f>HLOOKUP(BP26,'Equipment Lookups'!$L$4:$AE$55,VLOOKUP(Inventory!BS26,'Equipment Lookups'!$J$5:$K$55,2,FALSE),TRUE)</f>
        <v>#N/A</v>
      </c>
      <c r="BS26" s="232" t="str">
        <f t="shared" si="76"/>
        <v/>
      </c>
      <c r="BT26" s="232" t="e">
        <f t="shared" si="22"/>
        <v>#N/A</v>
      </c>
      <c r="BU26" s="230" t="e">
        <f>INDEX('Equipment Lookups'!$AG$5:$AG$55,MATCH(Inventory!BS26,'Equipment Lookups'!$J$5:$J$55,0))</f>
        <v>#N/A</v>
      </c>
      <c r="BV26" s="568" t="str">
        <f ca="1">IFERROR(IF(AL26&lt;&gt;"",AL26,IF(State="TX",INDEX(TX_EFLHSanAntonio[[CFAir Cooled Chiller]:[CFPTRoom]],MATCH(Inventory!C26,TX_EFLHSanAntonio[Building Type],0),MATCH(BU26,EFLH!$G$2:$J$2,0)),VLOOKUP(C26,INDIRECT($BY$5),4,FALSE))),"-")</f>
        <v>-</v>
      </c>
      <c r="BW26" s="580" t="str">
        <f ca="1">IFERROR(IF(AJ26&lt;&gt;"",AJ26,IF(State="TX",INDEX(TX_EFLHSanAntonio[[EFLHcAir Cooled Chiller]:[EFLHcPTRoom]],MATCH(Inventory!C26,TX_EFLHSanAntonio[Building Type],0),MATCH(BU26,EFLH!$O$2:$R$2,0)),VLOOKUP(C26,INDIRECT($BY$5),2,FALSE))),"-")</f>
        <v>-</v>
      </c>
      <c r="BX26" s="581" t="str">
        <f ca="1">IFERROR(IF(AK26&lt;&gt;"",AK26,IF(State="TX",INDEX(TX_EFLHSanAntonio[[EFLHhDX]:[EFLHhPTRoom]],MATCH(Inventory!C26,TX_EFLHSanAntonio[Building Type],0),MATCH(BU26,EFLH!$S$2:$T$2,0)),VLOOKUP(C26,INDIRECT($BY$5),3,FALSE))),"-")</f>
        <v>-</v>
      </c>
      <c r="BY26" s="565">
        <f>IF(AM26&lt;&gt;"",AM26,IF(State="TX",INDEX(TX_EFLHSanAntonio[[NCPAir Cooled Chiller]:[NCPPTRoom]],MATCH(Inventory!C26,TX_EFLHSanAntonio[Building Type],0),MATCH(BU26,EFLH!$K$2:$N$2,0)),0))</f>
        <v>0</v>
      </c>
      <c r="BZ26" s="598" t="e">
        <f t="shared" ca="1" si="23"/>
        <v>#N/A</v>
      </c>
      <c r="CA26" s="599" t="e">
        <f t="shared" ca="1" si="24"/>
        <v>#N/A</v>
      </c>
      <c r="CB26" s="599" t="str">
        <f t="shared" ca="1" si="25"/>
        <v/>
      </c>
      <c r="CC26" s="599" t="e">
        <f t="shared" ca="1" si="26"/>
        <v>#N/A</v>
      </c>
      <c r="CD26" s="599" t="e">
        <f t="shared" ca="1" si="27"/>
        <v>#N/A</v>
      </c>
      <c r="CE26" s="599" t="str">
        <f t="shared" ca="1" si="28"/>
        <v/>
      </c>
      <c r="CF26" s="599" t="b">
        <f t="shared" si="29"/>
        <v>0</v>
      </c>
      <c r="CG26" s="599" t="e">
        <f t="shared" ca="1" si="30"/>
        <v>#N/A</v>
      </c>
      <c r="CH26" s="599" t="e">
        <f t="shared" ca="1" si="31"/>
        <v>#N/A</v>
      </c>
      <c r="CI26" s="599" t="str">
        <f t="shared" ca="1" si="32"/>
        <v/>
      </c>
      <c r="CJ26" s="599" t="str">
        <f t="shared" si="33"/>
        <v/>
      </c>
      <c r="CK26" s="599" t="str">
        <f t="shared" si="34"/>
        <v/>
      </c>
      <c r="CL26" s="600" t="str">
        <f t="shared" si="35"/>
        <v/>
      </c>
      <c r="CM26" s="228" t="e">
        <f t="shared" ca="1" si="36"/>
        <v>#N/A</v>
      </c>
      <c r="CN26" s="228" t="e">
        <f t="shared" ca="1" si="37"/>
        <v>#N/A</v>
      </c>
      <c r="CO26" s="232" t="e">
        <f t="shared" ca="1" si="38"/>
        <v>#N/A</v>
      </c>
      <c r="CP26" s="232">
        <f t="shared" ca="1" si="39"/>
        <v>0</v>
      </c>
      <c r="CQ26" s="228" t="e">
        <f t="shared" ca="1" si="40"/>
        <v>#N/A</v>
      </c>
      <c r="CR26" s="228" t="e">
        <f t="shared" ca="1" si="41"/>
        <v>#N/A</v>
      </c>
      <c r="CS26" s="232" t="e">
        <f t="shared" ca="1" si="42"/>
        <v>#N/A</v>
      </c>
      <c r="CT26" s="232" t="e">
        <f t="shared" ca="1" si="43"/>
        <v>#VALUE!</v>
      </c>
      <c r="CU26" s="228" t="e">
        <f t="shared" ca="1" si="44"/>
        <v>#N/A</v>
      </c>
      <c r="CV26" s="228" t="e">
        <f t="shared" ca="1" si="45"/>
        <v>#N/A</v>
      </c>
      <c r="CW26" s="232" t="e">
        <f t="shared" ca="1" si="46"/>
        <v>#N/A</v>
      </c>
      <c r="CX26" s="237" t="e">
        <f t="shared" ca="1" si="47"/>
        <v>#VALUE!</v>
      </c>
      <c r="CY26" s="233">
        <f t="shared" si="77"/>
        <v>0</v>
      </c>
      <c r="CZ26" s="233">
        <f t="shared" si="78"/>
        <v>0</v>
      </c>
      <c r="DA26" s="246">
        <f t="shared" si="79"/>
        <v>0</v>
      </c>
      <c r="DB26" s="246">
        <f t="shared" si="80"/>
        <v>0</v>
      </c>
      <c r="DC26" s="562" t="e">
        <f>INDEX('Utility Admin'!$P$2:$AD$2,1,MATCH($Q26,'Utility Admin'!$P$3:$AD$3,0))</f>
        <v>#N/A</v>
      </c>
      <c r="DD26" s="131" t="e">
        <f>INDEX('Utility Admin'!AE$2:AS$2,1,MATCH($Q26,'Utility Admin'!$P$3:$AD$3,0))</f>
        <v>#N/A</v>
      </c>
      <c r="DE26" s="239" t="e">
        <f>IF(kWhOverride="",INDEX('Utility Admin'!$AT$2:$BH$2,1,MATCH($Q26,'Utility Admin'!$P$3:$AD$3,0)),kWhOverride)</f>
        <v>#N/A</v>
      </c>
      <c r="DF26" s="230" t="str" cm="1">
        <f t="array" ref="DF26">IF(B26="New Construction","",IF(L26="","",MAX(ProgramYear-BK26,1,)))</f>
        <v/>
      </c>
      <c r="DG26" s="234" t="e">
        <f>INDEX('Equipment Lookups'!$AI$5:$BV$55,MATCH(Inventory!BL26,'Equipment Lookups'!$J$5:$J$55,0),MATCH(Inventory!DF26,'Equipment Lookups'!$AI$4:$BV$4,0))</f>
        <v>#N/A</v>
      </c>
      <c r="DH26" s="230" t="e">
        <f>INDEX('Equipment Lookups'!$AH$5:$AH$55,MATCH(Inventory!BS26,'Equipment Lookups'!$J$5:$J$55,0))</f>
        <v>#N/A</v>
      </c>
      <c r="DI26" s="131" t="e">
        <f t="shared" si="81"/>
        <v>#N/A</v>
      </c>
      <c r="DJ26" s="131" t="e">
        <f t="shared" ca="1" si="82"/>
        <v>#N/A</v>
      </c>
      <c r="DK26" s="131" t="e">
        <f t="shared" ca="1" si="83"/>
        <v>#N/A</v>
      </c>
      <c r="DL26" s="131" t="e">
        <f t="shared" ca="1" si="84"/>
        <v>#N/A</v>
      </c>
      <c r="DM26" s="131" t="e">
        <f t="shared" ca="1" si="85"/>
        <v>#N/A</v>
      </c>
      <c r="DN26" s="131" t="e">
        <f t="shared" ca="1" si="86"/>
        <v>#N/A</v>
      </c>
      <c r="DO26" s="131" t="e">
        <f t="shared" ca="1" si="87"/>
        <v>#N/A</v>
      </c>
      <c r="DP26" s="131" t="e">
        <f t="shared" ca="1" si="97"/>
        <v>#N/A</v>
      </c>
      <c r="DQ26" s="131" t="e">
        <f t="shared" ca="1" si="98"/>
        <v>#N/A</v>
      </c>
      <c r="DR26" s="131" t="e">
        <f t="shared" ca="1" si="88"/>
        <v>#N/A</v>
      </c>
      <c r="DS26" s="131" t="e">
        <f t="shared" ca="1" si="89"/>
        <v>#N/A</v>
      </c>
      <c r="DT26" s="131" t="e">
        <f t="shared" ca="1" si="90"/>
        <v>#N/A</v>
      </c>
      <c r="DU26" s="131" t="e">
        <f t="shared" ca="1" si="99"/>
        <v>#N/A</v>
      </c>
      <c r="DV26" s="131" t="e">
        <f t="shared" si="91"/>
        <v>#N/A</v>
      </c>
      <c r="DW26" s="131" t="e">
        <f t="shared" si="100"/>
        <v>#N/A</v>
      </c>
      <c r="DX26" s="131" t="e">
        <f t="shared" ca="1" si="92"/>
        <v>#N/A</v>
      </c>
      <c r="DY26" s="131" t="e">
        <f t="shared" ca="1" si="93"/>
        <v>#N/A</v>
      </c>
      <c r="DZ26" s="131" t="e">
        <f t="shared" ca="1" si="94"/>
        <v>#N/A</v>
      </c>
      <c r="EA26" s="131" t="e">
        <f t="shared" ca="1" si="101"/>
        <v>#N/A</v>
      </c>
      <c r="EB26" s="250">
        <f t="shared" ca="1" si="64"/>
        <v>0</v>
      </c>
      <c r="EC26" s="131">
        <f t="shared" ca="1" si="65"/>
        <v>0</v>
      </c>
      <c r="ED26" s="131">
        <f t="shared" ca="1" si="66"/>
        <v>0</v>
      </c>
    </row>
    <row r="27" spans="1:134" ht="30" customHeight="1" x14ac:dyDescent="0.25">
      <c r="A27" s="132">
        <v>20</v>
      </c>
      <c r="B27" s="481"/>
      <c r="C27" s="113"/>
      <c r="D27" s="480"/>
      <c r="E27" s="480"/>
      <c r="F27" s="285"/>
      <c r="G27" s="284"/>
      <c r="H27" s="287"/>
      <c r="I27" s="521" t="str">
        <f t="shared" si="1"/>
        <v/>
      </c>
      <c r="J27" s="110"/>
      <c r="K27" s="110"/>
      <c r="L27" s="114"/>
      <c r="M27" s="498"/>
      <c r="N27" s="633"/>
      <c r="O27" s="111"/>
      <c r="P27" s="111"/>
      <c r="Q27" s="110"/>
      <c r="R27" s="288"/>
      <c r="S27" s="494" t="str">
        <f t="shared" si="2"/>
        <v/>
      </c>
      <c r="T27" s="288"/>
      <c r="U27" s="494" t="str">
        <f t="shared" si="3"/>
        <v/>
      </c>
      <c r="V27" s="110"/>
      <c r="W27" s="110"/>
      <c r="X27" s="546" t="str">
        <f t="shared" si="4"/>
        <v/>
      </c>
      <c r="Y27" s="110"/>
      <c r="Z27" s="110"/>
      <c r="AA27" s="112"/>
      <c r="AB27" s="112"/>
      <c r="AC27" s="639" t="str">
        <f t="shared" si="5"/>
        <v/>
      </c>
      <c r="AD27" s="112"/>
      <c r="AE27" s="496" t="str">
        <f t="shared" si="6"/>
        <v/>
      </c>
      <c r="AF27" s="482"/>
      <c r="AG27" s="533"/>
      <c r="AH27" s="534"/>
      <c r="AI27" s="538"/>
      <c r="AJ27" s="409"/>
      <c r="AK27" s="409"/>
      <c r="AL27" s="112"/>
      <c r="AM27" s="679"/>
      <c r="AN27" s="683">
        <f t="shared" si="67"/>
        <v>0</v>
      </c>
      <c r="AO27" s="681">
        <f t="shared" si="68"/>
        <v>0</v>
      </c>
      <c r="AP27" s="223">
        <f t="shared" si="7"/>
        <v>0</v>
      </c>
      <c r="AQ27" s="224">
        <f>IFERROR(IF($AR$3&lt;'Utility Admin'!$I$2,AR27,'Utility Admin'!$I$2/Inventory!$AR$3*AR27),0)</f>
        <v>0</v>
      </c>
      <c r="AR27" s="602">
        <f t="shared" si="8"/>
        <v>0</v>
      </c>
      <c r="AS27" s="604">
        <f t="shared" si="69"/>
        <v>0</v>
      </c>
      <c r="AT27" s="225"/>
      <c r="AU27" s="511" t="str">
        <f t="shared" si="10"/>
        <v/>
      </c>
      <c r="AV27" s="545" t="str">
        <f t="shared" si="11"/>
        <v/>
      </c>
      <c r="AW27" s="129" t="str">
        <f t="shared" si="70"/>
        <v/>
      </c>
      <c r="AX27" s="542" t="str">
        <f t="shared" si="12"/>
        <v/>
      </c>
      <c r="AY27" s="130" t="str">
        <f t="shared" si="71"/>
        <v/>
      </c>
      <c r="AZ27" s="399"/>
      <c r="BA27" s="417">
        <f t="shared" si="13"/>
        <v>0</v>
      </c>
      <c r="BB27" s="131">
        <f t="shared" si="14"/>
        <v>0</v>
      </c>
      <c r="BC27" s="131">
        <f t="shared" si="15"/>
        <v>0</v>
      </c>
      <c r="BD27" s="228" t="str">
        <f t="shared" si="72"/>
        <v/>
      </c>
      <c r="BE27" s="228">
        <f t="shared" si="73"/>
        <v>0</v>
      </c>
      <c r="BF27" s="761" t="str">
        <f>IF('Project Info'!$D$7="TX",INDEX(EFLH!$U$4:$U$31,MATCH(C27,TX_EFLHSanAntonio[Building Type],0),1),'Project Info'!$D$7&amp;"EquipmentType")</f>
        <v>EquipmentType</v>
      </c>
      <c r="BG27" s="229">
        <f t="shared" si="17"/>
        <v>0</v>
      </c>
      <c r="BH27" s="229">
        <f t="shared" si="18"/>
        <v>0</v>
      </c>
      <c r="BI27" s="229">
        <f t="shared" si="19"/>
        <v>0</v>
      </c>
      <c r="BJ27" s="230" t="e">
        <f>HLOOKUP(BI27,'Equipment Lookups'!$L$4:$AE$55,VLOOKUP(Inventory!BL27,'Equipment Lookups'!$J$5:$K$55,2,FALSE),TRUE)</f>
        <v>#N/A</v>
      </c>
      <c r="BK27" s="231" t="str" cm="1">
        <f t="array" ref="BK27">IF(L27="","",MAX(IF(L27="Unknown",ProgramYear-INDEX('Equipment Lookups'!$AF$5:$AF$38,MATCH(Inventory!BL27,'Equipment Lookups'!$J$5:$J$38,0)),_xlfn.NUMBERVALUE(RIGHT(L27,4))),INDEX(BaselineRow,1)))</f>
        <v/>
      </c>
      <c r="BL27" s="232" t="str">
        <f t="shared" si="74"/>
        <v/>
      </c>
      <c r="BM27" s="232" t="e">
        <f t="shared" si="20"/>
        <v>#N/A</v>
      </c>
      <c r="BN27" s="229">
        <f t="shared" si="95"/>
        <v>0</v>
      </c>
      <c r="BO27" s="229">
        <f t="shared" si="102"/>
        <v>0</v>
      </c>
      <c r="BP27" s="229">
        <f t="shared" si="96"/>
        <v>0</v>
      </c>
      <c r="BQ27" s="229">
        <f t="shared" si="75"/>
        <v>0</v>
      </c>
      <c r="BR27" s="229" t="e">
        <f>HLOOKUP(BP27,'Equipment Lookups'!$L$4:$AE$55,VLOOKUP(Inventory!BS27,'Equipment Lookups'!$J$5:$K$55,2,FALSE),TRUE)</f>
        <v>#N/A</v>
      </c>
      <c r="BS27" s="232" t="str">
        <f t="shared" si="76"/>
        <v/>
      </c>
      <c r="BT27" s="232" t="e">
        <f t="shared" si="22"/>
        <v>#N/A</v>
      </c>
      <c r="BU27" s="230" t="e">
        <f>INDEX('Equipment Lookups'!$AG$5:$AG$55,MATCH(Inventory!BS27,'Equipment Lookups'!$J$5:$J$55,0))</f>
        <v>#N/A</v>
      </c>
      <c r="BV27" s="568" t="str">
        <f ca="1">IFERROR(IF(AL27&lt;&gt;"",AL27,IF(State="TX",INDEX(TX_EFLHSanAntonio[[CFAir Cooled Chiller]:[CFPTRoom]],MATCH(Inventory!C27,TX_EFLHSanAntonio[Building Type],0),MATCH(BU27,EFLH!$G$2:$J$2,0)),VLOOKUP(C27,INDIRECT($BY$5),4,FALSE))),"-")</f>
        <v>-</v>
      </c>
      <c r="BW27" s="580" t="str">
        <f ca="1">IFERROR(IF(AJ27&lt;&gt;"",AJ27,IF(State="TX",INDEX(TX_EFLHSanAntonio[[EFLHcAir Cooled Chiller]:[EFLHcPTRoom]],MATCH(Inventory!C27,TX_EFLHSanAntonio[Building Type],0),MATCH(BU27,EFLH!$O$2:$R$2,0)),VLOOKUP(C27,INDIRECT($BY$5),2,FALSE))),"-")</f>
        <v>-</v>
      </c>
      <c r="BX27" s="581" t="str">
        <f ca="1">IFERROR(IF(AK27&lt;&gt;"",AK27,IF(State="TX",INDEX(TX_EFLHSanAntonio[[EFLHhDX]:[EFLHhPTRoom]],MATCH(Inventory!C27,TX_EFLHSanAntonio[Building Type],0),MATCH(BU27,EFLH!$S$2:$T$2,0)),VLOOKUP(C27,INDIRECT($BY$5),3,FALSE))),"-")</f>
        <v>-</v>
      </c>
      <c r="BY27" s="565">
        <f>IF(AM27&lt;&gt;"",AM27,IF(State="TX",INDEX(TX_EFLHSanAntonio[[NCPAir Cooled Chiller]:[NCPPTRoom]],MATCH(Inventory!C27,TX_EFLHSanAntonio[Building Type],0),MATCH(BU27,EFLH!$K$2:$N$2,0)),0))</f>
        <v>0</v>
      </c>
      <c r="BZ27" s="598" t="e">
        <f t="shared" ca="1" si="23"/>
        <v>#N/A</v>
      </c>
      <c r="CA27" s="599" t="e">
        <f t="shared" ca="1" si="24"/>
        <v>#N/A</v>
      </c>
      <c r="CB27" s="599" t="str">
        <f t="shared" ca="1" si="25"/>
        <v/>
      </c>
      <c r="CC27" s="599" t="e">
        <f t="shared" ca="1" si="26"/>
        <v>#N/A</v>
      </c>
      <c r="CD27" s="599" t="e">
        <f t="shared" ca="1" si="27"/>
        <v>#N/A</v>
      </c>
      <c r="CE27" s="599" t="str">
        <f t="shared" ca="1" si="28"/>
        <v/>
      </c>
      <c r="CF27" s="599" t="b">
        <f t="shared" si="29"/>
        <v>0</v>
      </c>
      <c r="CG27" s="599" t="e">
        <f t="shared" ca="1" si="30"/>
        <v>#N/A</v>
      </c>
      <c r="CH27" s="599" t="e">
        <f t="shared" ca="1" si="31"/>
        <v>#N/A</v>
      </c>
      <c r="CI27" s="599" t="str">
        <f t="shared" ca="1" si="32"/>
        <v/>
      </c>
      <c r="CJ27" s="599" t="str">
        <f t="shared" si="33"/>
        <v/>
      </c>
      <c r="CK27" s="599" t="str">
        <f t="shared" si="34"/>
        <v/>
      </c>
      <c r="CL27" s="600" t="str">
        <f t="shared" si="35"/>
        <v/>
      </c>
      <c r="CM27" s="228" t="e">
        <f t="shared" ca="1" si="36"/>
        <v>#N/A</v>
      </c>
      <c r="CN27" s="228" t="e">
        <f t="shared" ca="1" si="37"/>
        <v>#N/A</v>
      </c>
      <c r="CO27" s="232" t="e">
        <f t="shared" ca="1" si="38"/>
        <v>#N/A</v>
      </c>
      <c r="CP27" s="232">
        <f t="shared" ca="1" si="39"/>
        <v>0</v>
      </c>
      <c r="CQ27" s="228" t="e">
        <f t="shared" ca="1" si="40"/>
        <v>#N/A</v>
      </c>
      <c r="CR27" s="228" t="e">
        <f t="shared" ca="1" si="41"/>
        <v>#N/A</v>
      </c>
      <c r="CS27" s="232" t="e">
        <f t="shared" ca="1" si="42"/>
        <v>#N/A</v>
      </c>
      <c r="CT27" s="232" t="e">
        <f t="shared" ca="1" si="43"/>
        <v>#VALUE!</v>
      </c>
      <c r="CU27" s="228" t="e">
        <f t="shared" ca="1" si="44"/>
        <v>#N/A</v>
      </c>
      <c r="CV27" s="228" t="e">
        <f t="shared" ca="1" si="45"/>
        <v>#N/A</v>
      </c>
      <c r="CW27" s="232" t="e">
        <f t="shared" ca="1" si="46"/>
        <v>#N/A</v>
      </c>
      <c r="CX27" s="237" t="e">
        <f t="shared" ca="1" si="47"/>
        <v>#VALUE!</v>
      </c>
      <c r="CY27" s="233">
        <f t="shared" si="77"/>
        <v>0</v>
      </c>
      <c r="CZ27" s="233">
        <f t="shared" si="78"/>
        <v>0</v>
      </c>
      <c r="DA27" s="246">
        <f t="shared" si="79"/>
        <v>0</v>
      </c>
      <c r="DB27" s="246">
        <f t="shared" si="80"/>
        <v>0</v>
      </c>
      <c r="DC27" s="562" t="e">
        <f>INDEX('Utility Admin'!$P$2:$AD$2,1,MATCH($Q27,'Utility Admin'!$P$3:$AD$3,0))</f>
        <v>#N/A</v>
      </c>
      <c r="DD27" s="131" t="e">
        <f>INDEX('Utility Admin'!AE$2:AS$2,1,MATCH($Q27,'Utility Admin'!$P$3:$AD$3,0))</f>
        <v>#N/A</v>
      </c>
      <c r="DE27" s="239" t="e">
        <f>IF(kWhOverride="",INDEX('Utility Admin'!$AT$2:$BH$2,1,MATCH($Q27,'Utility Admin'!$P$3:$AD$3,0)),kWhOverride)</f>
        <v>#N/A</v>
      </c>
      <c r="DF27" s="230" t="str" cm="1">
        <f t="array" ref="DF27">IF(B27="New Construction","",IF(L27="","",MAX(ProgramYear-BK27,1,)))</f>
        <v/>
      </c>
      <c r="DG27" s="234" t="e">
        <f>INDEX('Equipment Lookups'!$AI$5:$BV$55,MATCH(Inventory!BL27,'Equipment Lookups'!$J$5:$J$55,0),MATCH(Inventory!DF27,'Equipment Lookups'!$AI$4:$BV$4,0))</f>
        <v>#N/A</v>
      </c>
      <c r="DH27" s="230" t="e">
        <f>INDEX('Equipment Lookups'!$AH$5:$AH$55,MATCH(Inventory!BS27,'Equipment Lookups'!$J$5:$J$55,0))</f>
        <v>#N/A</v>
      </c>
      <c r="DI27" s="131" t="e">
        <f t="shared" si="81"/>
        <v>#N/A</v>
      </c>
      <c r="DJ27" s="131" t="e">
        <f t="shared" ca="1" si="82"/>
        <v>#N/A</v>
      </c>
      <c r="DK27" s="131" t="e">
        <f t="shared" ca="1" si="83"/>
        <v>#N/A</v>
      </c>
      <c r="DL27" s="131" t="e">
        <f t="shared" ca="1" si="84"/>
        <v>#N/A</v>
      </c>
      <c r="DM27" s="131" t="e">
        <f t="shared" ca="1" si="85"/>
        <v>#N/A</v>
      </c>
      <c r="DN27" s="131" t="e">
        <f t="shared" ca="1" si="86"/>
        <v>#N/A</v>
      </c>
      <c r="DO27" s="131" t="e">
        <f t="shared" ca="1" si="87"/>
        <v>#N/A</v>
      </c>
      <c r="DP27" s="131" t="e">
        <f t="shared" ca="1" si="97"/>
        <v>#N/A</v>
      </c>
      <c r="DQ27" s="131" t="e">
        <f t="shared" ca="1" si="98"/>
        <v>#N/A</v>
      </c>
      <c r="DR27" s="131" t="e">
        <f t="shared" ca="1" si="88"/>
        <v>#N/A</v>
      </c>
      <c r="DS27" s="131" t="e">
        <f t="shared" ca="1" si="89"/>
        <v>#N/A</v>
      </c>
      <c r="DT27" s="131" t="e">
        <f t="shared" ca="1" si="90"/>
        <v>#N/A</v>
      </c>
      <c r="DU27" s="131" t="e">
        <f t="shared" ca="1" si="99"/>
        <v>#N/A</v>
      </c>
      <c r="DV27" s="131" t="e">
        <f t="shared" si="91"/>
        <v>#N/A</v>
      </c>
      <c r="DW27" s="131" t="e">
        <f t="shared" si="100"/>
        <v>#N/A</v>
      </c>
      <c r="DX27" s="131" t="e">
        <f t="shared" ca="1" si="92"/>
        <v>#N/A</v>
      </c>
      <c r="DY27" s="131" t="e">
        <f t="shared" ca="1" si="93"/>
        <v>#N/A</v>
      </c>
      <c r="DZ27" s="131" t="e">
        <f t="shared" ca="1" si="94"/>
        <v>#N/A</v>
      </c>
      <c r="EA27" s="131" t="e">
        <f t="shared" ca="1" si="101"/>
        <v>#N/A</v>
      </c>
      <c r="EB27" s="250">
        <f t="shared" ca="1" si="64"/>
        <v>0</v>
      </c>
      <c r="EC27" s="131">
        <f t="shared" ca="1" si="65"/>
        <v>0</v>
      </c>
      <c r="ED27" s="131">
        <f t="shared" ca="1" si="66"/>
        <v>0</v>
      </c>
    </row>
    <row r="28" spans="1:134" ht="30" customHeight="1" x14ac:dyDescent="0.25">
      <c r="A28" s="128">
        <v>21</v>
      </c>
      <c r="B28" s="481"/>
      <c r="C28" s="113"/>
      <c r="D28" s="480"/>
      <c r="E28" s="480"/>
      <c r="F28" s="285"/>
      <c r="G28" s="284"/>
      <c r="H28" s="287"/>
      <c r="I28" s="521" t="str">
        <f t="shared" si="1"/>
        <v/>
      </c>
      <c r="J28" s="110"/>
      <c r="K28" s="110"/>
      <c r="L28" s="114"/>
      <c r="M28" s="498"/>
      <c r="N28" s="633"/>
      <c r="O28" s="111"/>
      <c r="P28" s="111"/>
      <c r="Q28" s="110"/>
      <c r="R28" s="288"/>
      <c r="S28" s="494" t="str">
        <f t="shared" si="2"/>
        <v/>
      </c>
      <c r="T28" s="288"/>
      <c r="U28" s="494" t="str">
        <f t="shared" si="3"/>
        <v/>
      </c>
      <c r="V28" s="110"/>
      <c r="W28" s="110"/>
      <c r="X28" s="546" t="str">
        <f t="shared" si="4"/>
        <v/>
      </c>
      <c r="Y28" s="110"/>
      <c r="Z28" s="110"/>
      <c r="AA28" s="112"/>
      <c r="AB28" s="112"/>
      <c r="AC28" s="639" t="str">
        <f t="shared" si="5"/>
        <v/>
      </c>
      <c r="AD28" s="112"/>
      <c r="AE28" s="496" t="str">
        <f t="shared" si="6"/>
        <v/>
      </c>
      <c r="AF28" s="482"/>
      <c r="AG28" s="533"/>
      <c r="AH28" s="534"/>
      <c r="AI28" s="538"/>
      <c r="AJ28" s="409"/>
      <c r="AK28" s="409"/>
      <c r="AL28" s="112"/>
      <c r="AM28" s="679"/>
      <c r="AN28" s="683">
        <f t="shared" si="67"/>
        <v>0</v>
      </c>
      <c r="AO28" s="681">
        <f t="shared" si="68"/>
        <v>0</v>
      </c>
      <c r="AP28" s="223">
        <f t="shared" si="7"/>
        <v>0</v>
      </c>
      <c r="AQ28" s="224">
        <f>IFERROR(IF($AR$3&lt;'Utility Admin'!$I$2,AR28,'Utility Admin'!$I$2/Inventory!$AR$3*AR28),0)</f>
        <v>0</v>
      </c>
      <c r="AR28" s="602">
        <f t="shared" si="8"/>
        <v>0</v>
      </c>
      <c r="AS28" s="604">
        <f t="shared" si="69"/>
        <v>0</v>
      </c>
      <c r="AT28" s="225"/>
      <c r="AU28" s="511" t="str">
        <f t="shared" si="10"/>
        <v/>
      </c>
      <c r="AV28" s="545" t="str">
        <f t="shared" si="11"/>
        <v/>
      </c>
      <c r="AW28" s="129" t="str">
        <f t="shared" si="70"/>
        <v/>
      </c>
      <c r="AX28" s="542" t="str">
        <f t="shared" si="12"/>
        <v/>
      </c>
      <c r="AY28" s="130" t="str">
        <f t="shared" si="71"/>
        <v/>
      </c>
      <c r="AZ28" s="399"/>
      <c r="BA28" s="417">
        <f t="shared" si="13"/>
        <v>0</v>
      </c>
      <c r="BB28" s="131">
        <f t="shared" si="14"/>
        <v>0</v>
      </c>
      <c r="BC28" s="131">
        <f t="shared" si="15"/>
        <v>0</v>
      </c>
      <c r="BD28" s="228" t="str">
        <f t="shared" si="72"/>
        <v/>
      </c>
      <c r="BE28" s="228">
        <f t="shared" si="73"/>
        <v>0</v>
      </c>
      <c r="BF28" s="761" t="str">
        <f>IF('Project Info'!$D$7="TX",INDEX(EFLH!$U$4:$U$31,MATCH(C28,TX_EFLHSanAntonio[Building Type],0),1),'Project Info'!$D$7&amp;"EquipmentType")</f>
        <v>EquipmentType</v>
      </c>
      <c r="BG28" s="229">
        <f t="shared" si="17"/>
        <v>0</v>
      </c>
      <c r="BH28" s="229">
        <f t="shared" si="18"/>
        <v>0</v>
      </c>
      <c r="BI28" s="229">
        <f t="shared" si="19"/>
        <v>0</v>
      </c>
      <c r="BJ28" s="230" t="e">
        <f>HLOOKUP(BI28,'Equipment Lookups'!$L$4:$AE$55,VLOOKUP(Inventory!BL28,'Equipment Lookups'!$J$5:$K$55,2,FALSE),TRUE)</f>
        <v>#N/A</v>
      </c>
      <c r="BK28" s="231" t="str" cm="1">
        <f t="array" ref="BK28">IF(L28="","",MAX(IF(L28="Unknown",ProgramYear-INDEX('Equipment Lookups'!$AF$5:$AF$38,MATCH(Inventory!BL28,'Equipment Lookups'!$J$5:$J$38,0)),_xlfn.NUMBERVALUE(RIGHT(L28,4))),INDEX(BaselineRow,1)))</f>
        <v/>
      </c>
      <c r="BL28" s="232" t="str">
        <f t="shared" si="74"/>
        <v/>
      </c>
      <c r="BM28" s="232" t="e">
        <f t="shared" si="20"/>
        <v>#N/A</v>
      </c>
      <c r="BN28" s="229">
        <f t="shared" si="95"/>
        <v>0</v>
      </c>
      <c r="BO28" s="229">
        <f t="shared" si="102"/>
        <v>0</v>
      </c>
      <c r="BP28" s="229">
        <f t="shared" si="96"/>
        <v>0</v>
      </c>
      <c r="BQ28" s="229">
        <f t="shared" si="75"/>
        <v>0</v>
      </c>
      <c r="BR28" s="229" t="e">
        <f>HLOOKUP(BP28,'Equipment Lookups'!$L$4:$AE$55,VLOOKUP(Inventory!BS28,'Equipment Lookups'!$J$5:$K$55,2,FALSE),TRUE)</f>
        <v>#N/A</v>
      </c>
      <c r="BS28" s="232" t="str">
        <f t="shared" si="76"/>
        <v/>
      </c>
      <c r="BT28" s="232" t="e">
        <f t="shared" si="22"/>
        <v>#N/A</v>
      </c>
      <c r="BU28" s="230" t="e">
        <f>INDEX('Equipment Lookups'!$AG$5:$AG$55,MATCH(Inventory!BS28,'Equipment Lookups'!$J$5:$J$55,0))</f>
        <v>#N/A</v>
      </c>
      <c r="BV28" s="568" t="str">
        <f ca="1">IFERROR(IF(AL28&lt;&gt;"",AL28,IF(State="TX",INDEX(TX_EFLHSanAntonio[[CFAir Cooled Chiller]:[CFPTRoom]],MATCH(Inventory!C28,TX_EFLHSanAntonio[Building Type],0),MATCH(BU28,EFLH!$G$2:$J$2,0)),VLOOKUP(C28,INDIRECT($BY$5),4,FALSE))),"-")</f>
        <v>-</v>
      </c>
      <c r="BW28" s="580" t="str">
        <f ca="1">IFERROR(IF(AJ28&lt;&gt;"",AJ28,IF(State="TX",INDEX(TX_EFLHSanAntonio[[EFLHcAir Cooled Chiller]:[EFLHcPTRoom]],MATCH(Inventory!C28,TX_EFLHSanAntonio[Building Type],0),MATCH(BU28,EFLH!$O$2:$R$2,0)),VLOOKUP(C28,INDIRECT($BY$5),2,FALSE))),"-")</f>
        <v>-</v>
      </c>
      <c r="BX28" s="581" t="str">
        <f ca="1">IFERROR(IF(AK28&lt;&gt;"",AK28,IF(State="TX",INDEX(TX_EFLHSanAntonio[[EFLHhDX]:[EFLHhPTRoom]],MATCH(Inventory!C28,TX_EFLHSanAntonio[Building Type],0),MATCH(BU28,EFLH!$S$2:$T$2,0)),VLOOKUP(C28,INDIRECT($BY$5),3,FALSE))),"-")</f>
        <v>-</v>
      </c>
      <c r="BY28" s="565">
        <f>IF(AM28&lt;&gt;"",AM28,IF(State="TX",INDEX(TX_EFLHSanAntonio[[NCPAir Cooled Chiller]:[NCPPTRoom]],MATCH(Inventory!C28,TX_EFLHSanAntonio[Building Type],0),MATCH(BU28,EFLH!$K$2:$N$2,0)),0))</f>
        <v>0</v>
      </c>
      <c r="BZ28" s="598" t="e">
        <f t="shared" ca="1" si="23"/>
        <v>#N/A</v>
      </c>
      <c r="CA28" s="599" t="e">
        <f t="shared" ca="1" si="24"/>
        <v>#N/A</v>
      </c>
      <c r="CB28" s="599" t="str">
        <f t="shared" ca="1" si="25"/>
        <v/>
      </c>
      <c r="CC28" s="599" t="e">
        <f t="shared" ca="1" si="26"/>
        <v>#N/A</v>
      </c>
      <c r="CD28" s="599" t="e">
        <f t="shared" ca="1" si="27"/>
        <v>#N/A</v>
      </c>
      <c r="CE28" s="599" t="str">
        <f t="shared" ca="1" si="28"/>
        <v/>
      </c>
      <c r="CF28" s="599" t="b">
        <f t="shared" si="29"/>
        <v>0</v>
      </c>
      <c r="CG28" s="599" t="e">
        <f t="shared" ca="1" si="30"/>
        <v>#N/A</v>
      </c>
      <c r="CH28" s="599" t="e">
        <f t="shared" ca="1" si="31"/>
        <v>#N/A</v>
      </c>
      <c r="CI28" s="599" t="str">
        <f t="shared" ca="1" si="32"/>
        <v/>
      </c>
      <c r="CJ28" s="599" t="str">
        <f t="shared" si="33"/>
        <v/>
      </c>
      <c r="CK28" s="599" t="str">
        <f t="shared" si="34"/>
        <v/>
      </c>
      <c r="CL28" s="600" t="str">
        <f t="shared" si="35"/>
        <v/>
      </c>
      <c r="CM28" s="228" t="e">
        <f t="shared" ca="1" si="36"/>
        <v>#N/A</v>
      </c>
      <c r="CN28" s="228" t="e">
        <f t="shared" ca="1" si="37"/>
        <v>#N/A</v>
      </c>
      <c r="CO28" s="232" t="e">
        <f t="shared" ca="1" si="38"/>
        <v>#N/A</v>
      </c>
      <c r="CP28" s="232">
        <f t="shared" ca="1" si="39"/>
        <v>0</v>
      </c>
      <c r="CQ28" s="228" t="e">
        <f t="shared" ca="1" si="40"/>
        <v>#N/A</v>
      </c>
      <c r="CR28" s="228" t="e">
        <f t="shared" ca="1" si="41"/>
        <v>#N/A</v>
      </c>
      <c r="CS28" s="232" t="e">
        <f t="shared" ca="1" si="42"/>
        <v>#N/A</v>
      </c>
      <c r="CT28" s="232" t="e">
        <f t="shared" ca="1" si="43"/>
        <v>#VALUE!</v>
      </c>
      <c r="CU28" s="228" t="e">
        <f t="shared" ca="1" si="44"/>
        <v>#N/A</v>
      </c>
      <c r="CV28" s="228" t="e">
        <f t="shared" ca="1" si="45"/>
        <v>#N/A</v>
      </c>
      <c r="CW28" s="232" t="e">
        <f t="shared" ca="1" si="46"/>
        <v>#N/A</v>
      </c>
      <c r="CX28" s="237" t="e">
        <f t="shared" ca="1" si="47"/>
        <v>#VALUE!</v>
      </c>
      <c r="CY28" s="233">
        <f t="shared" si="77"/>
        <v>0</v>
      </c>
      <c r="CZ28" s="233">
        <f t="shared" si="78"/>
        <v>0</v>
      </c>
      <c r="DA28" s="246">
        <f t="shared" si="79"/>
        <v>0</v>
      </c>
      <c r="DB28" s="246">
        <f t="shared" si="80"/>
        <v>0</v>
      </c>
      <c r="DC28" s="562" t="e">
        <f>INDEX('Utility Admin'!$P$2:$AD$2,1,MATCH($Q28,'Utility Admin'!$P$3:$AD$3,0))</f>
        <v>#N/A</v>
      </c>
      <c r="DD28" s="131" t="e">
        <f>INDEX('Utility Admin'!AE$2:AS$2,1,MATCH($Q28,'Utility Admin'!$P$3:$AD$3,0))</f>
        <v>#N/A</v>
      </c>
      <c r="DE28" s="239" t="e">
        <f>IF(kWhOverride="",INDEX('Utility Admin'!$AT$2:$BH$2,1,MATCH($Q28,'Utility Admin'!$P$3:$AD$3,0)),kWhOverride)</f>
        <v>#N/A</v>
      </c>
      <c r="DF28" s="230" t="str" cm="1">
        <f t="array" ref="DF28">IF(B28="New Construction","",IF(L28="","",MAX(ProgramYear-BK28,1,)))</f>
        <v/>
      </c>
      <c r="DG28" s="234" t="e">
        <f>INDEX('Equipment Lookups'!$AI$5:$BV$55,MATCH(Inventory!BL28,'Equipment Lookups'!$J$5:$J$55,0),MATCH(Inventory!DF28,'Equipment Lookups'!$AI$4:$BV$4,0))</f>
        <v>#N/A</v>
      </c>
      <c r="DH28" s="230" t="e">
        <f>INDEX('Equipment Lookups'!$AH$5:$AH$55,MATCH(Inventory!BS28,'Equipment Lookups'!$J$5:$J$55,0))</f>
        <v>#N/A</v>
      </c>
      <c r="DI28" s="131" t="e">
        <f t="shared" si="81"/>
        <v>#N/A</v>
      </c>
      <c r="DJ28" s="131" t="e">
        <f t="shared" ca="1" si="82"/>
        <v>#N/A</v>
      </c>
      <c r="DK28" s="131" t="e">
        <f t="shared" ca="1" si="83"/>
        <v>#N/A</v>
      </c>
      <c r="DL28" s="131" t="e">
        <f t="shared" ca="1" si="84"/>
        <v>#N/A</v>
      </c>
      <c r="DM28" s="131" t="e">
        <f t="shared" ca="1" si="85"/>
        <v>#N/A</v>
      </c>
      <c r="DN28" s="131" t="e">
        <f t="shared" ca="1" si="86"/>
        <v>#N/A</v>
      </c>
      <c r="DO28" s="131" t="e">
        <f t="shared" ca="1" si="87"/>
        <v>#N/A</v>
      </c>
      <c r="DP28" s="131" t="e">
        <f t="shared" ca="1" si="97"/>
        <v>#N/A</v>
      </c>
      <c r="DQ28" s="131" t="e">
        <f t="shared" ca="1" si="98"/>
        <v>#N/A</v>
      </c>
      <c r="DR28" s="131" t="e">
        <f t="shared" ca="1" si="88"/>
        <v>#N/A</v>
      </c>
      <c r="DS28" s="131" t="e">
        <f t="shared" ca="1" si="89"/>
        <v>#N/A</v>
      </c>
      <c r="DT28" s="131" t="e">
        <f t="shared" ca="1" si="90"/>
        <v>#N/A</v>
      </c>
      <c r="DU28" s="131" t="e">
        <f t="shared" ca="1" si="99"/>
        <v>#N/A</v>
      </c>
      <c r="DV28" s="131" t="e">
        <f t="shared" si="91"/>
        <v>#N/A</v>
      </c>
      <c r="DW28" s="131" t="e">
        <f t="shared" si="100"/>
        <v>#N/A</v>
      </c>
      <c r="DX28" s="131" t="e">
        <f t="shared" ca="1" si="92"/>
        <v>#N/A</v>
      </c>
      <c r="DY28" s="131" t="e">
        <f t="shared" ca="1" si="93"/>
        <v>#N/A</v>
      </c>
      <c r="DZ28" s="131" t="e">
        <f t="shared" ca="1" si="94"/>
        <v>#N/A</v>
      </c>
      <c r="EA28" s="131" t="e">
        <f t="shared" ca="1" si="101"/>
        <v>#N/A</v>
      </c>
      <c r="EB28" s="250">
        <f t="shared" ca="1" si="64"/>
        <v>0</v>
      </c>
      <c r="EC28" s="131">
        <f t="shared" ca="1" si="65"/>
        <v>0</v>
      </c>
      <c r="ED28" s="131">
        <f t="shared" ca="1" si="66"/>
        <v>0</v>
      </c>
    </row>
    <row r="29" spans="1:134" ht="30" customHeight="1" x14ac:dyDescent="0.25">
      <c r="A29" s="132">
        <v>22</v>
      </c>
      <c r="B29" s="481"/>
      <c r="C29" s="113"/>
      <c r="D29" s="480"/>
      <c r="E29" s="480"/>
      <c r="F29" s="285"/>
      <c r="G29" s="284"/>
      <c r="H29" s="287"/>
      <c r="I29" s="521" t="str">
        <f t="shared" si="1"/>
        <v/>
      </c>
      <c r="J29" s="110"/>
      <c r="K29" s="110"/>
      <c r="L29" s="114"/>
      <c r="M29" s="498"/>
      <c r="N29" s="633"/>
      <c r="O29" s="111"/>
      <c r="P29" s="111"/>
      <c r="Q29" s="110"/>
      <c r="R29" s="288"/>
      <c r="S29" s="494" t="str">
        <f t="shared" si="2"/>
        <v/>
      </c>
      <c r="T29" s="288"/>
      <c r="U29" s="494" t="str">
        <f t="shared" si="3"/>
        <v/>
      </c>
      <c r="V29" s="110"/>
      <c r="W29" s="110"/>
      <c r="X29" s="546" t="str">
        <f t="shared" si="4"/>
        <v/>
      </c>
      <c r="Y29" s="110"/>
      <c r="Z29" s="110"/>
      <c r="AA29" s="112"/>
      <c r="AB29" s="112"/>
      <c r="AC29" s="639" t="str">
        <f t="shared" si="5"/>
        <v/>
      </c>
      <c r="AD29" s="112"/>
      <c r="AE29" s="496" t="str">
        <f t="shared" si="6"/>
        <v/>
      </c>
      <c r="AF29" s="482"/>
      <c r="AG29" s="533"/>
      <c r="AH29" s="534"/>
      <c r="AI29" s="538"/>
      <c r="AJ29" s="409"/>
      <c r="AK29" s="409"/>
      <c r="AL29" s="112"/>
      <c r="AM29" s="679"/>
      <c r="AN29" s="683">
        <f t="shared" si="67"/>
        <v>0</v>
      </c>
      <c r="AO29" s="681">
        <f t="shared" si="68"/>
        <v>0</v>
      </c>
      <c r="AP29" s="223">
        <f t="shared" si="7"/>
        <v>0</v>
      </c>
      <c r="AQ29" s="224">
        <f>IFERROR(IF($AR$3&lt;'Utility Admin'!$I$2,AR29,'Utility Admin'!$I$2/Inventory!$AR$3*AR29),0)</f>
        <v>0</v>
      </c>
      <c r="AR29" s="602">
        <f t="shared" si="8"/>
        <v>0</v>
      </c>
      <c r="AS29" s="604">
        <f t="shared" si="69"/>
        <v>0</v>
      </c>
      <c r="AT29" s="225"/>
      <c r="AU29" s="511" t="str">
        <f t="shared" si="10"/>
        <v/>
      </c>
      <c r="AV29" s="545" t="str">
        <f t="shared" si="11"/>
        <v/>
      </c>
      <c r="AW29" s="129" t="str">
        <f t="shared" si="70"/>
        <v/>
      </c>
      <c r="AX29" s="542" t="str">
        <f t="shared" si="12"/>
        <v/>
      </c>
      <c r="AY29" s="130" t="str">
        <f t="shared" si="71"/>
        <v/>
      </c>
      <c r="AZ29" s="399"/>
      <c r="BA29" s="417">
        <f t="shared" si="13"/>
        <v>0</v>
      </c>
      <c r="BB29" s="131">
        <f t="shared" si="14"/>
        <v>0</v>
      </c>
      <c r="BC29" s="131">
        <f t="shared" si="15"/>
        <v>0</v>
      </c>
      <c r="BD29" s="228" t="str">
        <f t="shared" si="72"/>
        <v/>
      </c>
      <c r="BE29" s="228">
        <f t="shared" si="73"/>
        <v>0</v>
      </c>
      <c r="BF29" s="761" t="str">
        <f>IF('Project Info'!$D$7="TX",INDEX(EFLH!$U$4:$U$31,MATCH(C29,TX_EFLHSanAntonio[Building Type],0),1),'Project Info'!$D$7&amp;"EquipmentType")</f>
        <v>EquipmentType</v>
      </c>
      <c r="BG29" s="229">
        <f t="shared" si="17"/>
        <v>0</v>
      </c>
      <c r="BH29" s="229">
        <f t="shared" si="18"/>
        <v>0</v>
      </c>
      <c r="BI29" s="229">
        <f t="shared" si="19"/>
        <v>0</v>
      </c>
      <c r="BJ29" s="230" t="e">
        <f>HLOOKUP(BI29,'Equipment Lookups'!$L$4:$AE$55,VLOOKUP(Inventory!BL29,'Equipment Lookups'!$J$5:$K$55,2,FALSE),TRUE)</f>
        <v>#N/A</v>
      </c>
      <c r="BK29" s="231" t="str" cm="1">
        <f t="array" ref="BK29">IF(L29="","",MAX(IF(L29="Unknown",ProgramYear-INDEX('Equipment Lookups'!$AF$5:$AF$38,MATCH(Inventory!BL29,'Equipment Lookups'!$J$5:$J$38,0)),_xlfn.NUMBERVALUE(RIGHT(L29,4))),INDEX(BaselineRow,1)))</f>
        <v/>
      </c>
      <c r="BL29" s="232" t="str">
        <f t="shared" si="74"/>
        <v/>
      </c>
      <c r="BM29" s="232" t="e">
        <f t="shared" si="20"/>
        <v>#N/A</v>
      </c>
      <c r="BN29" s="229">
        <f t="shared" si="95"/>
        <v>0</v>
      </c>
      <c r="BO29" s="229">
        <f t="shared" si="102"/>
        <v>0</v>
      </c>
      <c r="BP29" s="229">
        <f t="shared" si="96"/>
        <v>0</v>
      </c>
      <c r="BQ29" s="229">
        <f t="shared" si="75"/>
        <v>0</v>
      </c>
      <c r="BR29" s="229" t="e">
        <f>HLOOKUP(BP29,'Equipment Lookups'!$L$4:$AE$55,VLOOKUP(Inventory!BS29,'Equipment Lookups'!$J$5:$K$55,2,FALSE),TRUE)</f>
        <v>#N/A</v>
      </c>
      <c r="BS29" s="232" t="str">
        <f t="shared" si="76"/>
        <v/>
      </c>
      <c r="BT29" s="232" t="e">
        <f t="shared" si="22"/>
        <v>#N/A</v>
      </c>
      <c r="BU29" s="230" t="e">
        <f>INDEX('Equipment Lookups'!$AG$5:$AG$55,MATCH(Inventory!BS29,'Equipment Lookups'!$J$5:$J$55,0))</f>
        <v>#N/A</v>
      </c>
      <c r="BV29" s="568" t="str">
        <f ca="1">IFERROR(IF(AL29&lt;&gt;"",AL29,IF(State="TX",INDEX(TX_EFLHSanAntonio[[CFAir Cooled Chiller]:[CFPTRoom]],MATCH(Inventory!C29,TX_EFLHSanAntonio[Building Type],0),MATCH(BU29,EFLH!$G$2:$J$2,0)),VLOOKUP(C29,INDIRECT($BY$5),4,FALSE))),"-")</f>
        <v>-</v>
      </c>
      <c r="BW29" s="580" t="str">
        <f ca="1">IFERROR(IF(AJ29&lt;&gt;"",AJ29,IF(State="TX",INDEX(TX_EFLHSanAntonio[[EFLHcAir Cooled Chiller]:[EFLHcPTRoom]],MATCH(Inventory!C29,TX_EFLHSanAntonio[Building Type],0),MATCH(BU29,EFLH!$O$2:$R$2,0)),VLOOKUP(C29,INDIRECT($BY$5),2,FALSE))),"-")</f>
        <v>-</v>
      </c>
      <c r="BX29" s="581" t="str">
        <f ca="1">IFERROR(IF(AK29&lt;&gt;"",AK29,IF(State="TX",INDEX(TX_EFLHSanAntonio[[EFLHhDX]:[EFLHhPTRoom]],MATCH(Inventory!C29,TX_EFLHSanAntonio[Building Type],0),MATCH(BU29,EFLH!$S$2:$T$2,0)),VLOOKUP(C29,INDIRECT($BY$5),3,FALSE))),"-")</f>
        <v>-</v>
      </c>
      <c r="BY29" s="565">
        <f>IF(AM29&lt;&gt;"",AM29,IF(State="TX",INDEX(TX_EFLHSanAntonio[[NCPAir Cooled Chiller]:[NCPPTRoom]],MATCH(Inventory!C29,TX_EFLHSanAntonio[Building Type],0),MATCH(BU29,EFLH!$K$2:$N$2,0)),0))</f>
        <v>0</v>
      </c>
      <c r="BZ29" s="598" t="e">
        <f t="shared" ca="1" si="23"/>
        <v>#N/A</v>
      </c>
      <c r="CA29" s="599" t="e">
        <f t="shared" ca="1" si="24"/>
        <v>#N/A</v>
      </c>
      <c r="CB29" s="599" t="str">
        <f t="shared" ca="1" si="25"/>
        <v/>
      </c>
      <c r="CC29" s="599" t="e">
        <f t="shared" ca="1" si="26"/>
        <v>#N/A</v>
      </c>
      <c r="CD29" s="599" t="e">
        <f t="shared" ca="1" si="27"/>
        <v>#N/A</v>
      </c>
      <c r="CE29" s="599" t="str">
        <f t="shared" ca="1" si="28"/>
        <v/>
      </c>
      <c r="CF29" s="599" t="b">
        <f t="shared" si="29"/>
        <v>0</v>
      </c>
      <c r="CG29" s="599" t="e">
        <f t="shared" ca="1" si="30"/>
        <v>#N/A</v>
      </c>
      <c r="CH29" s="599" t="e">
        <f t="shared" ca="1" si="31"/>
        <v>#N/A</v>
      </c>
      <c r="CI29" s="599" t="str">
        <f t="shared" ca="1" si="32"/>
        <v/>
      </c>
      <c r="CJ29" s="599" t="str">
        <f t="shared" si="33"/>
        <v/>
      </c>
      <c r="CK29" s="599" t="str">
        <f t="shared" si="34"/>
        <v/>
      </c>
      <c r="CL29" s="600" t="str">
        <f t="shared" si="35"/>
        <v/>
      </c>
      <c r="CM29" s="228" t="e">
        <f t="shared" ca="1" si="36"/>
        <v>#N/A</v>
      </c>
      <c r="CN29" s="228" t="e">
        <f t="shared" ca="1" si="37"/>
        <v>#N/A</v>
      </c>
      <c r="CO29" s="232" t="e">
        <f t="shared" ca="1" si="38"/>
        <v>#N/A</v>
      </c>
      <c r="CP29" s="232">
        <f t="shared" ca="1" si="39"/>
        <v>0</v>
      </c>
      <c r="CQ29" s="228" t="e">
        <f t="shared" ca="1" si="40"/>
        <v>#N/A</v>
      </c>
      <c r="CR29" s="228" t="e">
        <f t="shared" ca="1" si="41"/>
        <v>#N/A</v>
      </c>
      <c r="CS29" s="232" t="e">
        <f t="shared" ca="1" si="42"/>
        <v>#N/A</v>
      </c>
      <c r="CT29" s="232" t="e">
        <f t="shared" ca="1" si="43"/>
        <v>#VALUE!</v>
      </c>
      <c r="CU29" s="228" t="e">
        <f t="shared" ca="1" si="44"/>
        <v>#N/A</v>
      </c>
      <c r="CV29" s="228" t="e">
        <f t="shared" ca="1" si="45"/>
        <v>#N/A</v>
      </c>
      <c r="CW29" s="232" t="e">
        <f t="shared" ca="1" si="46"/>
        <v>#N/A</v>
      </c>
      <c r="CX29" s="237" t="e">
        <f t="shared" ca="1" si="47"/>
        <v>#VALUE!</v>
      </c>
      <c r="CY29" s="233">
        <f t="shared" si="77"/>
        <v>0</v>
      </c>
      <c r="CZ29" s="233">
        <f t="shared" si="78"/>
        <v>0</v>
      </c>
      <c r="DA29" s="246">
        <f t="shared" si="79"/>
        <v>0</v>
      </c>
      <c r="DB29" s="246">
        <f t="shared" si="80"/>
        <v>0</v>
      </c>
      <c r="DC29" s="562" t="e">
        <f>INDEX('Utility Admin'!$P$2:$AD$2,1,MATCH($Q29,'Utility Admin'!$P$3:$AD$3,0))</f>
        <v>#N/A</v>
      </c>
      <c r="DD29" s="131" t="e">
        <f>INDEX('Utility Admin'!AE$2:AS$2,1,MATCH($Q29,'Utility Admin'!$P$3:$AD$3,0))</f>
        <v>#N/A</v>
      </c>
      <c r="DE29" s="239" t="e">
        <f>IF(kWhOverride="",INDEX('Utility Admin'!$AT$2:$BH$2,1,MATCH($Q29,'Utility Admin'!$P$3:$AD$3,0)),kWhOverride)</f>
        <v>#N/A</v>
      </c>
      <c r="DF29" s="230" t="str" cm="1">
        <f t="array" ref="DF29">IF(B29="New Construction","",IF(L29="","",MAX(ProgramYear-BK29,1,)))</f>
        <v/>
      </c>
      <c r="DG29" s="234" t="e">
        <f>INDEX('Equipment Lookups'!$AI$5:$BV$55,MATCH(Inventory!BL29,'Equipment Lookups'!$J$5:$J$55,0),MATCH(Inventory!DF29,'Equipment Lookups'!$AI$4:$BV$4,0))</f>
        <v>#N/A</v>
      </c>
      <c r="DH29" s="230" t="e">
        <f>INDEX('Equipment Lookups'!$AH$5:$AH$55,MATCH(Inventory!BS29,'Equipment Lookups'!$J$5:$J$55,0))</f>
        <v>#N/A</v>
      </c>
      <c r="DI29" s="131" t="e">
        <f t="shared" si="81"/>
        <v>#N/A</v>
      </c>
      <c r="DJ29" s="131" t="e">
        <f t="shared" ca="1" si="82"/>
        <v>#N/A</v>
      </c>
      <c r="DK29" s="131" t="e">
        <f t="shared" ca="1" si="83"/>
        <v>#N/A</v>
      </c>
      <c r="DL29" s="131" t="e">
        <f t="shared" ca="1" si="84"/>
        <v>#N/A</v>
      </c>
      <c r="DM29" s="131" t="e">
        <f t="shared" ca="1" si="85"/>
        <v>#N/A</v>
      </c>
      <c r="DN29" s="131" t="e">
        <f t="shared" ca="1" si="86"/>
        <v>#N/A</v>
      </c>
      <c r="DO29" s="131" t="e">
        <f t="shared" ca="1" si="87"/>
        <v>#N/A</v>
      </c>
      <c r="DP29" s="131" t="e">
        <f t="shared" ca="1" si="97"/>
        <v>#N/A</v>
      </c>
      <c r="DQ29" s="131" t="e">
        <f t="shared" ca="1" si="98"/>
        <v>#N/A</v>
      </c>
      <c r="DR29" s="131" t="e">
        <f t="shared" ca="1" si="88"/>
        <v>#N/A</v>
      </c>
      <c r="DS29" s="131" t="e">
        <f t="shared" ca="1" si="89"/>
        <v>#N/A</v>
      </c>
      <c r="DT29" s="131" t="e">
        <f t="shared" ca="1" si="90"/>
        <v>#N/A</v>
      </c>
      <c r="DU29" s="131" t="e">
        <f t="shared" ca="1" si="99"/>
        <v>#N/A</v>
      </c>
      <c r="DV29" s="131" t="e">
        <f t="shared" si="91"/>
        <v>#N/A</v>
      </c>
      <c r="DW29" s="131" t="e">
        <f t="shared" si="100"/>
        <v>#N/A</v>
      </c>
      <c r="DX29" s="131" t="e">
        <f t="shared" ca="1" si="92"/>
        <v>#N/A</v>
      </c>
      <c r="DY29" s="131" t="e">
        <f t="shared" ca="1" si="93"/>
        <v>#N/A</v>
      </c>
      <c r="DZ29" s="131" t="e">
        <f t="shared" ca="1" si="94"/>
        <v>#N/A</v>
      </c>
      <c r="EA29" s="131" t="e">
        <f t="shared" ca="1" si="101"/>
        <v>#N/A</v>
      </c>
      <c r="EB29" s="250">
        <f t="shared" ca="1" si="64"/>
        <v>0</v>
      </c>
      <c r="EC29" s="131">
        <f t="shared" ca="1" si="65"/>
        <v>0</v>
      </c>
      <c r="ED29" s="131">
        <f t="shared" ca="1" si="66"/>
        <v>0</v>
      </c>
    </row>
    <row r="30" spans="1:134" ht="30" customHeight="1" x14ac:dyDescent="0.25">
      <c r="A30" s="128">
        <v>23</v>
      </c>
      <c r="B30" s="481"/>
      <c r="C30" s="113"/>
      <c r="D30" s="480"/>
      <c r="E30" s="480"/>
      <c r="F30" s="285"/>
      <c r="G30" s="284"/>
      <c r="H30" s="287"/>
      <c r="I30" s="521" t="str">
        <f t="shared" si="1"/>
        <v/>
      </c>
      <c r="J30" s="110"/>
      <c r="K30" s="110"/>
      <c r="L30" s="114"/>
      <c r="M30" s="498"/>
      <c r="N30" s="633"/>
      <c r="O30" s="111"/>
      <c r="P30" s="111"/>
      <c r="Q30" s="110"/>
      <c r="R30" s="288"/>
      <c r="S30" s="494" t="str">
        <f t="shared" si="2"/>
        <v/>
      </c>
      <c r="T30" s="288"/>
      <c r="U30" s="494" t="str">
        <f t="shared" si="3"/>
        <v/>
      </c>
      <c r="V30" s="110"/>
      <c r="W30" s="110"/>
      <c r="X30" s="546" t="str">
        <f t="shared" si="4"/>
        <v/>
      </c>
      <c r="Y30" s="110"/>
      <c r="Z30" s="110"/>
      <c r="AA30" s="112"/>
      <c r="AB30" s="112"/>
      <c r="AC30" s="639" t="str">
        <f t="shared" si="5"/>
        <v/>
      </c>
      <c r="AD30" s="112"/>
      <c r="AE30" s="496" t="str">
        <f t="shared" si="6"/>
        <v/>
      </c>
      <c r="AF30" s="482"/>
      <c r="AG30" s="533"/>
      <c r="AH30" s="534"/>
      <c r="AI30" s="538"/>
      <c r="AJ30" s="409"/>
      <c r="AK30" s="409"/>
      <c r="AL30" s="112"/>
      <c r="AM30" s="679"/>
      <c r="AN30" s="683">
        <f t="shared" si="67"/>
        <v>0</v>
      </c>
      <c r="AO30" s="681">
        <f t="shared" si="68"/>
        <v>0</v>
      </c>
      <c r="AP30" s="223">
        <f t="shared" si="7"/>
        <v>0</v>
      </c>
      <c r="AQ30" s="224">
        <f>IFERROR(IF($AR$3&lt;'Utility Admin'!$I$2,AR30,'Utility Admin'!$I$2/Inventory!$AR$3*AR30),0)</f>
        <v>0</v>
      </c>
      <c r="AR30" s="602">
        <f t="shared" si="8"/>
        <v>0</v>
      </c>
      <c r="AS30" s="604">
        <f t="shared" si="69"/>
        <v>0</v>
      </c>
      <c r="AT30" s="225"/>
      <c r="AU30" s="511" t="str">
        <f t="shared" si="10"/>
        <v/>
      </c>
      <c r="AV30" s="545" t="str">
        <f t="shared" si="11"/>
        <v/>
      </c>
      <c r="AW30" s="129" t="str">
        <f t="shared" si="70"/>
        <v/>
      </c>
      <c r="AX30" s="542" t="str">
        <f t="shared" si="12"/>
        <v/>
      </c>
      <c r="AY30" s="130" t="str">
        <f t="shared" si="71"/>
        <v/>
      </c>
      <c r="AZ30" s="399"/>
      <c r="BA30" s="417">
        <f t="shared" si="13"/>
        <v>0</v>
      </c>
      <c r="BB30" s="131">
        <f t="shared" si="14"/>
        <v>0</v>
      </c>
      <c r="BC30" s="131">
        <f t="shared" si="15"/>
        <v>0</v>
      </c>
      <c r="BD30" s="228" t="str">
        <f t="shared" si="72"/>
        <v/>
      </c>
      <c r="BE30" s="228">
        <f t="shared" si="73"/>
        <v>0</v>
      </c>
      <c r="BF30" s="761" t="str">
        <f>IF('Project Info'!$D$7="TX",INDEX(EFLH!$U$4:$U$31,MATCH(C30,TX_EFLHSanAntonio[Building Type],0),1),'Project Info'!$D$7&amp;"EquipmentType")</f>
        <v>EquipmentType</v>
      </c>
      <c r="BG30" s="229">
        <f t="shared" si="17"/>
        <v>0</v>
      </c>
      <c r="BH30" s="229">
        <f t="shared" si="18"/>
        <v>0</v>
      </c>
      <c r="BI30" s="229">
        <f t="shared" si="19"/>
        <v>0</v>
      </c>
      <c r="BJ30" s="230" t="e">
        <f>HLOOKUP(BI30,'Equipment Lookups'!$L$4:$AE$55,VLOOKUP(Inventory!BL30,'Equipment Lookups'!$J$5:$K$55,2,FALSE),TRUE)</f>
        <v>#N/A</v>
      </c>
      <c r="BK30" s="231" t="str" cm="1">
        <f t="array" ref="BK30">IF(L30="","",MAX(IF(L30="Unknown",ProgramYear-INDEX('Equipment Lookups'!$AF$5:$AF$38,MATCH(Inventory!BL30,'Equipment Lookups'!$J$5:$J$38,0)),_xlfn.NUMBERVALUE(RIGHT(L30,4))),INDEX(BaselineRow,1)))</f>
        <v/>
      </c>
      <c r="BL30" s="232" t="str">
        <f t="shared" si="74"/>
        <v/>
      </c>
      <c r="BM30" s="232" t="e">
        <f t="shared" si="20"/>
        <v>#N/A</v>
      </c>
      <c r="BN30" s="229">
        <f t="shared" si="95"/>
        <v>0</v>
      </c>
      <c r="BO30" s="229">
        <f t="shared" si="102"/>
        <v>0</v>
      </c>
      <c r="BP30" s="229">
        <f t="shared" si="96"/>
        <v>0</v>
      </c>
      <c r="BQ30" s="229">
        <f t="shared" si="75"/>
        <v>0</v>
      </c>
      <c r="BR30" s="229" t="e">
        <f>HLOOKUP(BP30,'Equipment Lookups'!$L$4:$AE$55,VLOOKUP(Inventory!BS30,'Equipment Lookups'!$J$5:$K$55,2,FALSE),TRUE)</f>
        <v>#N/A</v>
      </c>
      <c r="BS30" s="232" t="str">
        <f t="shared" si="76"/>
        <v/>
      </c>
      <c r="BT30" s="232" t="e">
        <f t="shared" si="22"/>
        <v>#N/A</v>
      </c>
      <c r="BU30" s="230" t="e">
        <f>INDEX('Equipment Lookups'!$AG$5:$AG$55,MATCH(Inventory!BS30,'Equipment Lookups'!$J$5:$J$55,0))</f>
        <v>#N/A</v>
      </c>
      <c r="BV30" s="568" t="str">
        <f ca="1">IFERROR(IF(AL30&lt;&gt;"",AL30,IF(State="TX",INDEX(TX_EFLHSanAntonio[[CFAir Cooled Chiller]:[CFPTRoom]],MATCH(Inventory!C30,TX_EFLHSanAntonio[Building Type],0),MATCH(BU30,EFLH!$G$2:$J$2,0)),VLOOKUP(C30,INDIRECT($BY$5),4,FALSE))),"-")</f>
        <v>-</v>
      </c>
      <c r="BW30" s="580" t="str">
        <f ca="1">IFERROR(IF(AJ30&lt;&gt;"",AJ30,IF(State="TX",INDEX(TX_EFLHSanAntonio[[EFLHcAir Cooled Chiller]:[EFLHcPTRoom]],MATCH(Inventory!C30,TX_EFLHSanAntonio[Building Type],0),MATCH(BU30,EFLH!$O$2:$R$2,0)),VLOOKUP(C30,INDIRECT($BY$5),2,FALSE))),"-")</f>
        <v>-</v>
      </c>
      <c r="BX30" s="581" t="str">
        <f ca="1">IFERROR(IF(AK30&lt;&gt;"",AK30,IF(State="TX",INDEX(TX_EFLHSanAntonio[[EFLHhDX]:[EFLHhPTRoom]],MATCH(Inventory!C30,TX_EFLHSanAntonio[Building Type],0),MATCH(BU30,EFLH!$S$2:$T$2,0)),VLOOKUP(C30,INDIRECT($BY$5),3,FALSE))),"-")</f>
        <v>-</v>
      </c>
      <c r="BY30" s="565">
        <f>IF(AM30&lt;&gt;"",AM30,IF(State="TX",INDEX(TX_EFLHSanAntonio[[NCPAir Cooled Chiller]:[NCPPTRoom]],MATCH(Inventory!C30,TX_EFLHSanAntonio[Building Type],0),MATCH(BU30,EFLH!$K$2:$N$2,0)),0))</f>
        <v>0</v>
      </c>
      <c r="BZ30" s="598" t="e">
        <f t="shared" ca="1" si="23"/>
        <v>#N/A</v>
      </c>
      <c r="CA30" s="599" t="e">
        <f t="shared" ca="1" si="24"/>
        <v>#N/A</v>
      </c>
      <c r="CB30" s="599" t="str">
        <f t="shared" ca="1" si="25"/>
        <v/>
      </c>
      <c r="CC30" s="599" t="e">
        <f t="shared" ca="1" si="26"/>
        <v>#N/A</v>
      </c>
      <c r="CD30" s="599" t="e">
        <f t="shared" ca="1" si="27"/>
        <v>#N/A</v>
      </c>
      <c r="CE30" s="599" t="str">
        <f t="shared" ca="1" si="28"/>
        <v/>
      </c>
      <c r="CF30" s="599" t="b">
        <f t="shared" si="29"/>
        <v>0</v>
      </c>
      <c r="CG30" s="599" t="e">
        <f t="shared" ca="1" si="30"/>
        <v>#N/A</v>
      </c>
      <c r="CH30" s="599" t="e">
        <f t="shared" ca="1" si="31"/>
        <v>#N/A</v>
      </c>
      <c r="CI30" s="599" t="str">
        <f t="shared" ca="1" si="32"/>
        <v/>
      </c>
      <c r="CJ30" s="599" t="str">
        <f t="shared" si="33"/>
        <v/>
      </c>
      <c r="CK30" s="599" t="str">
        <f t="shared" si="34"/>
        <v/>
      </c>
      <c r="CL30" s="600" t="str">
        <f t="shared" si="35"/>
        <v/>
      </c>
      <c r="CM30" s="228" t="e">
        <f t="shared" ca="1" si="36"/>
        <v>#N/A</v>
      </c>
      <c r="CN30" s="228" t="e">
        <f t="shared" ca="1" si="37"/>
        <v>#N/A</v>
      </c>
      <c r="CO30" s="232" t="e">
        <f t="shared" ca="1" si="38"/>
        <v>#N/A</v>
      </c>
      <c r="CP30" s="232">
        <f t="shared" ca="1" si="39"/>
        <v>0</v>
      </c>
      <c r="CQ30" s="228" t="e">
        <f t="shared" ca="1" si="40"/>
        <v>#N/A</v>
      </c>
      <c r="CR30" s="228" t="e">
        <f t="shared" ca="1" si="41"/>
        <v>#N/A</v>
      </c>
      <c r="CS30" s="232" t="e">
        <f t="shared" ca="1" si="42"/>
        <v>#N/A</v>
      </c>
      <c r="CT30" s="232" t="e">
        <f t="shared" ca="1" si="43"/>
        <v>#VALUE!</v>
      </c>
      <c r="CU30" s="228" t="e">
        <f t="shared" ca="1" si="44"/>
        <v>#N/A</v>
      </c>
      <c r="CV30" s="228" t="e">
        <f t="shared" ca="1" si="45"/>
        <v>#N/A</v>
      </c>
      <c r="CW30" s="232" t="e">
        <f t="shared" ca="1" si="46"/>
        <v>#N/A</v>
      </c>
      <c r="CX30" s="237" t="e">
        <f t="shared" ca="1" si="47"/>
        <v>#VALUE!</v>
      </c>
      <c r="CY30" s="233">
        <f t="shared" si="77"/>
        <v>0</v>
      </c>
      <c r="CZ30" s="233">
        <f t="shared" si="78"/>
        <v>0</v>
      </c>
      <c r="DA30" s="246">
        <f t="shared" si="79"/>
        <v>0</v>
      </c>
      <c r="DB30" s="246">
        <f t="shared" si="80"/>
        <v>0</v>
      </c>
      <c r="DC30" s="562" t="e">
        <f>INDEX('Utility Admin'!$P$2:$AD$2,1,MATCH($Q30,'Utility Admin'!$P$3:$AD$3,0))</f>
        <v>#N/A</v>
      </c>
      <c r="DD30" s="131" t="e">
        <f>INDEX('Utility Admin'!AE$2:AS$2,1,MATCH($Q30,'Utility Admin'!$P$3:$AD$3,0))</f>
        <v>#N/A</v>
      </c>
      <c r="DE30" s="239" t="e">
        <f>IF(kWhOverride="",INDEX('Utility Admin'!$AT$2:$BH$2,1,MATCH($Q30,'Utility Admin'!$P$3:$AD$3,0)),kWhOverride)</f>
        <v>#N/A</v>
      </c>
      <c r="DF30" s="230" t="str" cm="1">
        <f t="array" ref="DF30">IF(B30="New Construction","",IF(L30="","",MAX(ProgramYear-BK30,1,)))</f>
        <v/>
      </c>
      <c r="DG30" s="234" t="e">
        <f>INDEX('Equipment Lookups'!$AI$5:$BV$55,MATCH(Inventory!BL30,'Equipment Lookups'!$J$5:$J$55,0),MATCH(Inventory!DF30,'Equipment Lookups'!$AI$4:$BV$4,0))</f>
        <v>#N/A</v>
      </c>
      <c r="DH30" s="230" t="e">
        <f>INDEX('Equipment Lookups'!$AH$5:$AH$55,MATCH(Inventory!BS30,'Equipment Lookups'!$J$5:$J$55,0))</f>
        <v>#N/A</v>
      </c>
      <c r="DI30" s="131" t="e">
        <f t="shared" si="81"/>
        <v>#N/A</v>
      </c>
      <c r="DJ30" s="131" t="e">
        <f t="shared" ca="1" si="82"/>
        <v>#N/A</v>
      </c>
      <c r="DK30" s="131" t="e">
        <f t="shared" ca="1" si="83"/>
        <v>#N/A</v>
      </c>
      <c r="DL30" s="131" t="e">
        <f t="shared" ca="1" si="84"/>
        <v>#N/A</v>
      </c>
      <c r="DM30" s="131" t="e">
        <f t="shared" ca="1" si="85"/>
        <v>#N/A</v>
      </c>
      <c r="DN30" s="131" t="e">
        <f t="shared" ca="1" si="86"/>
        <v>#N/A</v>
      </c>
      <c r="DO30" s="131" t="e">
        <f t="shared" ca="1" si="87"/>
        <v>#N/A</v>
      </c>
      <c r="DP30" s="131" t="e">
        <f t="shared" ca="1" si="97"/>
        <v>#N/A</v>
      </c>
      <c r="DQ30" s="131" t="e">
        <f t="shared" ca="1" si="98"/>
        <v>#N/A</v>
      </c>
      <c r="DR30" s="131" t="e">
        <f t="shared" ca="1" si="88"/>
        <v>#N/A</v>
      </c>
      <c r="DS30" s="131" t="e">
        <f t="shared" ca="1" si="89"/>
        <v>#N/A</v>
      </c>
      <c r="DT30" s="131" t="e">
        <f t="shared" ca="1" si="90"/>
        <v>#N/A</v>
      </c>
      <c r="DU30" s="131" t="e">
        <f t="shared" ca="1" si="99"/>
        <v>#N/A</v>
      </c>
      <c r="DV30" s="131" t="e">
        <f t="shared" si="91"/>
        <v>#N/A</v>
      </c>
      <c r="DW30" s="131" t="e">
        <f t="shared" si="100"/>
        <v>#N/A</v>
      </c>
      <c r="DX30" s="131" t="e">
        <f t="shared" ca="1" si="92"/>
        <v>#N/A</v>
      </c>
      <c r="DY30" s="131" t="e">
        <f t="shared" ca="1" si="93"/>
        <v>#N/A</v>
      </c>
      <c r="DZ30" s="131" t="e">
        <f t="shared" ca="1" si="94"/>
        <v>#N/A</v>
      </c>
      <c r="EA30" s="131" t="e">
        <f t="shared" ca="1" si="101"/>
        <v>#N/A</v>
      </c>
      <c r="EB30" s="250">
        <f t="shared" ca="1" si="64"/>
        <v>0</v>
      </c>
      <c r="EC30" s="131">
        <f t="shared" ca="1" si="65"/>
        <v>0</v>
      </c>
      <c r="ED30" s="131">
        <f t="shared" ca="1" si="66"/>
        <v>0</v>
      </c>
    </row>
    <row r="31" spans="1:134" ht="30" customHeight="1" x14ac:dyDescent="0.25">
      <c r="A31" s="132">
        <v>24</v>
      </c>
      <c r="B31" s="481"/>
      <c r="C31" s="113"/>
      <c r="D31" s="480"/>
      <c r="E31" s="480"/>
      <c r="F31" s="285"/>
      <c r="G31" s="284"/>
      <c r="H31" s="287"/>
      <c r="I31" s="522" t="str">
        <f t="shared" si="1"/>
        <v/>
      </c>
      <c r="J31" s="110"/>
      <c r="K31" s="110"/>
      <c r="L31" s="114"/>
      <c r="M31" s="498"/>
      <c r="N31" s="633"/>
      <c r="O31" s="111"/>
      <c r="P31" s="111"/>
      <c r="Q31" s="110"/>
      <c r="R31" s="288"/>
      <c r="S31" s="494" t="str">
        <f t="shared" si="2"/>
        <v/>
      </c>
      <c r="T31" s="288"/>
      <c r="U31" s="494" t="str">
        <f t="shared" si="3"/>
        <v/>
      </c>
      <c r="V31" s="110"/>
      <c r="W31" s="110"/>
      <c r="X31" s="546" t="str">
        <f t="shared" si="4"/>
        <v/>
      </c>
      <c r="Y31" s="110"/>
      <c r="Z31" s="110"/>
      <c r="AA31" s="112"/>
      <c r="AB31" s="112"/>
      <c r="AC31" s="639" t="str">
        <f t="shared" si="5"/>
        <v/>
      </c>
      <c r="AD31" s="112"/>
      <c r="AE31" s="496" t="str">
        <f t="shared" si="6"/>
        <v/>
      </c>
      <c r="AF31" s="482"/>
      <c r="AG31" s="533"/>
      <c r="AH31" s="534"/>
      <c r="AI31" s="538"/>
      <c r="AJ31" s="409"/>
      <c r="AK31" s="409"/>
      <c r="AL31" s="112"/>
      <c r="AM31" s="679"/>
      <c r="AN31" s="683">
        <f t="shared" si="67"/>
        <v>0</v>
      </c>
      <c r="AO31" s="681">
        <f t="shared" si="68"/>
        <v>0</v>
      </c>
      <c r="AP31" s="223">
        <f t="shared" si="7"/>
        <v>0</v>
      </c>
      <c r="AQ31" s="224">
        <f>IFERROR(IF($AR$3&lt;'Utility Admin'!$I$2,AR31,'Utility Admin'!$I$2/Inventory!$AR$3*AR31),0)</f>
        <v>0</v>
      </c>
      <c r="AR31" s="602">
        <f t="shared" si="8"/>
        <v>0</v>
      </c>
      <c r="AS31" s="604">
        <f t="shared" si="69"/>
        <v>0</v>
      </c>
      <c r="AT31" s="225"/>
      <c r="AU31" s="511" t="str">
        <f t="shared" si="10"/>
        <v/>
      </c>
      <c r="AV31" s="545" t="str">
        <f t="shared" si="11"/>
        <v/>
      </c>
      <c r="AW31" s="129" t="str">
        <f t="shared" si="70"/>
        <v/>
      </c>
      <c r="AX31" s="542" t="str">
        <f t="shared" si="12"/>
        <v/>
      </c>
      <c r="AY31" s="130" t="str">
        <f t="shared" si="71"/>
        <v/>
      </c>
      <c r="AZ31" s="399"/>
      <c r="BA31" s="417">
        <f t="shared" si="13"/>
        <v>0</v>
      </c>
      <c r="BB31" s="131">
        <f t="shared" si="14"/>
        <v>0</v>
      </c>
      <c r="BC31" s="131">
        <f t="shared" si="15"/>
        <v>0</v>
      </c>
      <c r="BD31" s="228" t="str">
        <f t="shared" si="72"/>
        <v/>
      </c>
      <c r="BE31" s="228">
        <f t="shared" si="73"/>
        <v>0</v>
      </c>
      <c r="BF31" s="761" t="str">
        <f>IF('Project Info'!$D$7="TX",INDEX(EFLH!$U$4:$U$31,MATCH(C31,TX_EFLHSanAntonio[Building Type],0),1),'Project Info'!$D$7&amp;"EquipmentType")</f>
        <v>EquipmentType</v>
      </c>
      <c r="BG31" s="229">
        <f t="shared" si="17"/>
        <v>0</v>
      </c>
      <c r="BH31" s="229">
        <f t="shared" si="18"/>
        <v>0</v>
      </c>
      <c r="BI31" s="229">
        <f t="shared" si="19"/>
        <v>0</v>
      </c>
      <c r="BJ31" s="230" t="e">
        <f>HLOOKUP(BI31,'Equipment Lookups'!$L$4:$AE$55,VLOOKUP(Inventory!BL31,'Equipment Lookups'!$J$5:$K$55,2,FALSE),TRUE)</f>
        <v>#N/A</v>
      </c>
      <c r="BK31" s="231" t="str" cm="1">
        <f t="array" ref="BK31">IF(L31="","",MAX(IF(L31="Unknown",ProgramYear-INDEX('Equipment Lookups'!$AF$5:$AF$38,MATCH(Inventory!BL31,'Equipment Lookups'!$J$5:$J$38,0)),_xlfn.NUMBERVALUE(RIGHT(L31,4))),INDEX(BaselineRow,1)))</f>
        <v/>
      </c>
      <c r="BL31" s="232" t="str">
        <f t="shared" si="74"/>
        <v/>
      </c>
      <c r="BM31" s="232" t="e">
        <f t="shared" si="20"/>
        <v>#N/A</v>
      </c>
      <c r="BN31" s="229">
        <f t="shared" si="95"/>
        <v>0</v>
      </c>
      <c r="BO31" s="229">
        <f t="shared" si="102"/>
        <v>0</v>
      </c>
      <c r="BP31" s="229">
        <f t="shared" si="96"/>
        <v>0</v>
      </c>
      <c r="BQ31" s="229">
        <f t="shared" si="75"/>
        <v>0</v>
      </c>
      <c r="BR31" s="229" t="e">
        <f>HLOOKUP(BP31,'Equipment Lookups'!$L$4:$AE$55,VLOOKUP(Inventory!BS31,'Equipment Lookups'!$J$5:$K$55,2,FALSE),TRUE)</f>
        <v>#N/A</v>
      </c>
      <c r="BS31" s="232" t="str">
        <f t="shared" si="76"/>
        <v/>
      </c>
      <c r="BT31" s="232" t="e">
        <f t="shared" si="22"/>
        <v>#N/A</v>
      </c>
      <c r="BU31" s="230" t="e">
        <f>INDEX('Equipment Lookups'!$AG$5:$AG$55,MATCH(Inventory!BS31,'Equipment Lookups'!$J$5:$J$55,0))</f>
        <v>#N/A</v>
      </c>
      <c r="BV31" s="568" t="str">
        <f ca="1">IFERROR(IF(AL31&lt;&gt;"",AL31,IF(State="TX",INDEX(TX_EFLHSanAntonio[[CFAir Cooled Chiller]:[CFPTRoom]],MATCH(Inventory!C31,TX_EFLHSanAntonio[Building Type],0),MATCH(BU31,EFLH!$G$2:$J$2,0)),VLOOKUP(C31,INDIRECT($BY$5),4,FALSE))),"-")</f>
        <v>-</v>
      </c>
      <c r="BW31" s="580" t="str">
        <f ca="1">IFERROR(IF(AJ31&lt;&gt;"",AJ31,IF(State="TX",INDEX(TX_EFLHSanAntonio[[EFLHcAir Cooled Chiller]:[EFLHcPTRoom]],MATCH(Inventory!C31,TX_EFLHSanAntonio[Building Type],0),MATCH(BU31,EFLH!$O$2:$R$2,0)),VLOOKUP(C31,INDIRECT($BY$5),2,FALSE))),"-")</f>
        <v>-</v>
      </c>
      <c r="BX31" s="581" t="str">
        <f ca="1">IFERROR(IF(AK31&lt;&gt;"",AK31,IF(State="TX",INDEX(TX_EFLHSanAntonio[[EFLHhDX]:[EFLHhPTRoom]],MATCH(Inventory!C31,TX_EFLHSanAntonio[Building Type],0),MATCH(BU31,EFLH!$S$2:$T$2,0)),VLOOKUP(C31,INDIRECT($BY$5),3,FALSE))),"-")</f>
        <v>-</v>
      </c>
      <c r="BY31" s="565">
        <f>IF(AM31&lt;&gt;"",AM31,IF(State="TX",INDEX(TX_EFLHSanAntonio[[NCPAir Cooled Chiller]:[NCPPTRoom]],MATCH(Inventory!C31,TX_EFLHSanAntonio[Building Type],0),MATCH(BU31,EFLH!$K$2:$N$2,0)),0))</f>
        <v>0</v>
      </c>
      <c r="BZ31" s="598" t="e">
        <f t="shared" ca="1" si="23"/>
        <v>#N/A</v>
      </c>
      <c r="CA31" s="599" t="e">
        <f t="shared" ca="1" si="24"/>
        <v>#N/A</v>
      </c>
      <c r="CB31" s="599" t="str">
        <f t="shared" ca="1" si="25"/>
        <v/>
      </c>
      <c r="CC31" s="599" t="e">
        <f t="shared" ca="1" si="26"/>
        <v>#N/A</v>
      </c>
      <c r="CD31" s="599" t="e">
        <f t="shared" ca="1" si="27"/>
        <v>#N/A</v>
      </c>
      <c r="CE31" s="599" t="str">
        <f t="shared" ca="1" si="28"/>
        <v/>
      </c>
      <c r="CF31" s="599" t="b">
        <f t="shared" si="29"/>
        <v>0</v>
      </c>
      <c r="CG31" s="599" t="e">
        <f t="shared" ca="1" si="30"/>
        <v>#N/A</v>
      </c>
      <c r="CH31" s="599" t="e">
        <f t="shared" ca="1" si="31"/>
        <v>#N/A</v>
      </c>
      <c r="CI31" s="599" t="str">
        <f t="shared" ca="1" si="32"/>
        <v/>
      </c>
      <c r="CJ31" s="599" t="str">
        <f t="shared" si="33"/>
        <v/>
      </c>
      <c r="CK31" s="599" t="str">
        <f t="shared" si="34"/>
        <v/>
      </c>
      <c r="CL31" s="600" t="str">
        <f t="shared" si="35"/>
        <v/>
      </c>
      <c r="CM31" s="228" t="e">
        <f t="shared" ca="1" si="36"/>
        <v>#N/A</v>
      </c>
      <c r="CN31" s="228" t="e">
        <f t="shared" ca="1" si="37"/>
        <v>#N/A</v>
      </c>
      <c r="CO31" s="232" t="e">
        <f t="shared" ca="1" si="38"/>
        <v>#N/A</v>
      </c>
      <c r="CP31" s="232">
        <f t="shared" ca="1" si="39"/>
        <v>0</v>
      </c>
      <c r="CQ31" s="228" t="e">
        <f t="shared" ca="1" si="40"/>
        <v>#N/A</v>
      </c>
      <c r="CR31" s="228" t="e">
        <f t="shared" ca="1" si="41"/>
        <v>#N/A</v>
      </c>
      <c r="CS31" s="232" t="e">
        <f t="shared" ca="1" si="42"/>
        <v>#N/A</v>
      </c>
      <c r="CT31" s="232" t="e">
        <f t="shared" ca="1" si="43"/>
        <v>#VALUE!</v>
      </c>
      <c r="CU31" s="228" t="e">
        <f t="shared" ca="1" si="44"/>
        <v>#N/A</v>
      </c>
      <c r="CV31" s="228" t="e">
        <f t="shared" ca="1" si="45"/>
        <v>#N/A</v>
      </c>
      <c r="CW31" s="232" t="e">
        <f t="shared" ca="1" si="46"/>
        <v>#N/A</v>
      </c>
      <c r="CX31" s="237" t="e">
        <f t="shared" ca="1" si="47"/>
        <v>#VALUE!</v>
      </c>
      <c r="CY31" s="233">
        <f t="shared" si="77"/>
        <v>0</v>
      </c>
      <c r="CZ31" s="233">
        <f t="shared" si="78"/>
        <v>0</v>
      </c>
      <c r="DA31" s="246">
        <f t="shared" si="79"/>
        <v>0</v>
      </c>
      <c r="DB31" s="246">
        <f t="shared" si="80"/>
        <v>0</v>
      </c>
      <c r="DC31" s="562" t="e">
        <f>INDEX('Utility Admin'!$P$2:$AD$2,1,MATCH($Q31,'Utility Admin'!$P$3:$AD$3,0))</f>
        <v>#N/A</v>
      </c>
      <c r="DD31" s="131" t="e">
        <f>INDEX('Utility Admin'!AE$2:AS$2,1,MATCH($Q31,'Utility Admin'!$P$3:$AD$3,0))</f>
        <v>#N/A</v>
      </c>
      <c r="DE31" s="239" t="e">
        <f>IF(kWhOverride="",INDEX('Utility Admin'!$AT$2:$BH$2,1,MATCH($Q31,'Utility Admin'!$P$3:$AD$3,0)),kWhOverride)</f>
        <v>#N/A</v>
      </c>
      <c r="DF31" s="230" t="str" cm="1">
        <f t="array" ref="DF31">IF(B31="New Construction","",IF(L31="","",MAX(ProgramYear-BK31,1,)))</f>
        <v/>
      </c>
      <c r="DG31" s="234" t="e">
        <f>INDEX('Equipment Lookups'!$AI$5:$BV$55,MATCH(Inventory!BL31,'Equipment Lookups'!$J$5:$J$55,0),MATCH(Inventory!DF31,'Equipment Lookups'!$AI$4:$BV$4,0))</f>
        <v>#N/A</v>
      </c>
      <c r="DH31" s="230" t="e">
        <f>INDEX('Equipment Lookups'!$AH$5:$AH$55,MATCH(Inventory!BS31,'Equipment Lookups'!$J$5:$J$55,0))</f>
        <v>#N/A</v>
      </c>
      <c r="DI31" s="131" t="e">
        <f t="shared" si="81"/>
        <v>#N/A</v>
      </c>
      <c r="DJ31" s="131" t="e">
        <f t="shared" ca="1" si="82"/>
        <v>#N/A</v>
      </c>
      <c r="DK31" s="131" t="e">
        <f t="shared" ca="1" si="83"/>
        <v>#N/A</v>
      </c>
      <c r="DL31" s="131" t="e">
        <f t="shared" ca="1" si="84"/>
        <v>#N/A</v>
      </c>
      <c r="DM31" s="131" t="e">
        <f t="shared" ca="1" si="85"/>
        <v>#N/A</v>
      </c>
      <c r="DN31" s="131" t="e">
        <f t="shared" ca="1" si="86"/>
        <v>#N/A</v>
      </c>
      <c r="DO31" s="131" t="e">
        <f t="shared" ca="1" si="87"/>
        <v>#N/A</v>
      </c>
      <c r="DP31" s="131" t="e">
        <f t="shared" ca="1" si="97"/>
        <v>#N/A</v>
      </c>
      <c r="DQ31" s="131" t="e">
        <f t="shared" ca="1" si="98"/>
        <v>#N/A</v>
      </c>
      <c r="DR31" s="131" t="e">
        <f t="shared" ca="1" si="88"/>
        <v>#N/A</v>
      </c>
      <c r="DS31" s="131" t="e">
        <f t="shared" ca="1" si="89"/>
        <v>#N/A</v>
      </c>
      <c r="DT31" s="131" t="e">
        <f t="shared" ca="1" si="90"/>
        <v>#N/A</v>
      </c>
      <c r="DU31" s="131" t="e">
        <f t="shared" ca="1" si="99"/>
        <v>#N/A</v>
      </c>
      <c r="DV31" s="131" t="e">
        <f t="shared" si="91"/>
        <v>#N/A</v>
      </c>
      <c r="DW31" s="131" t="e">
        <f t="shared" si="100"/>
        <v>#N/A</v>
      </c>
      <c r="DX31" s="131" t="e">
        <f t="shared" ca="1" si="92"/>
        <v>#N/A</v>
      </c>
      <c r="DY31" s="131" t="e">
        <f t="shared" ca="1" si="93"/>
        <v>#N/A</v>
      </c>
      <c r="DZ31" s="131" t="e">
        <f t="shared" ca="1" si="94"/>
        <v>#N/A</v>
      </c>
      <c r="EA31" s="131" t="e">
        <f t="shared" ca="1" si="101"/>
        <v>#N/A</v>
      </c>
      <c r="EB31" s="250">
        <f t="shared" ca="1" si="64"/>
        <v>0</v>
      </c>
      <c r="EC31" s="131">
        <f t="shared" ca="1" si="65"/>
        <v>0</v>
      </c>
      <c r="ED31" s="131">
        <f t="shared" ca="1" si="66"/>
        <v>0</v>
      </c>
    </row>
    <row r="32" spans="1:134" ht="30" customHeight="1" thickBot="1" x14ac:dyDescent="0.3">
      <c r="A32" s="128">
        <v>25</v>
      </c>
      <c r="B32" s="483"/>
      <c r="C32" s="484"/>
      <c r="D32" s="485"/>
      <c r="E32" s="485"/>
      <c r="F32" s="486"/>
      <c r="G32" s="487"/>
      <c r="H32" s="488"/>
      <c r="I32" s="523" t="str">
        <f t="shared" si="1"/>
        <v/>
      </c>
      <c r="J32" s="489"/>
      <c r="K32" s="489"/>
      <c r="L32" s="490"/>
      <c r="M32" s="499"/>
      <c r="N32" s="634"/>
      <c r="O32" s="491"/>
      <c r="P32" s="491"/>
      <c r="Q32" s="489"/>
      <c r="R32" s="492"/>
      <c r="S32" s="495" t="str">
        <f t="shared" si="2"/>
        <v/>
      </c>
      <c r="T32" s="492"/>
      <c r="U32" s="495" t="str">
        <f t="shared" si="3"/>
        <v/>
      </c>
      <c r="V32" s="489"/>
      <c r="W32" s="489"/>
      <c r="X32" s="547" t="str">
        <f t="shared" si="4"/>
        <v/>
      </c>
      <c r="Y32" s="489"/>
      <c r="Z32" s="489"/>
      <c r="AA32" s="411"/>
      <c r="AB32" s="411"/>
      <c r="AC32" s="523" t="str">
        <f t="shared" si="5"/>
        <v/>
      </c>
      <c r="AD32" s="411"/>
      <c r="AE32" s="500" t="str">
        <f t="shared" si="6"/>
        <v/>
      </c>
      <c r="AF32" s="493"/>
      <c r="AG32" s="535"/>
      <c r="AH32" s="536"/>
      <c r="AI32" s="539"/>
      <c r="AJ32" s="410"/>
      <c r="AK32" s="410"/>
      <c r="AL32" s="411"/>
      <c r="AM32" s="680"/>
      <c r="AN32" s="684">
        <f t="shared" si="67"/>
        <v>0</v>
      </c>
      <c r="AO32" s="685">
        <f t="shared" si="68"/>
        <v>0</v>
      </c>
      <c r="AP32" s="418">
        <f t="shared" si="7"/>
        <v>0</v>
      </c>
      <c r="AQ32" s="419">
        <f>IFERROR(IF($AR$3&lt;'Utility Admin'!$I$2,AR32,'Utility Admin'!$I$2/Inventory!$AR$3*AR32),0)</f>
        <v>0</v>
      </c>
      <c r="AR32" s="603">
        <f t="shared" si="8"/>
        <v>0</v>
      </c>
      <c r="AS32" s="608">
        <f t="shared" si="69"/>
        <v>0</v>
      </c>
      <c r="AT32" s="225"/>
      <c r="AU32" s="512" t="str">
        <f t="shared" si="10"/>
        <v/>
      </c>
      <c r="AV32" s="528" t="str">
        <f t="shared" si="11"/>
        <v/>
      </c>
      <c r="AW32" s="513" t="str">
        <f t="shared" si="70"/>
        <v/>
      </c>
      <c r="AX32" s="543" t="str">
        <f t="shared" si="12"/>
        <v/>
      </c>
      <c r="AY32" s="514" t="str">
        <f t="shared" si="71"/>
        <v/>
      </c>
      <c r="AZ32" s="399"/>
      <c r="BA32" s="417">
        <f t="shared" si="13"/>
        <v>0</v>
      </c>
      <c r="BB32" s="131">
        <f t="shared" si="14"/>
        <v>0</v>
      </c>
      <c r="BC32" s="131">
        <f t="shared" si="15"/>
        <v>0</v>
      </c>
      <c r="BD32" s="228" t="str">
        <f t="shared" si="72"/>
        <v/>
      </c>
      <c r="BE32" s="228">
        <f t="shared" si="73"/>
        <v>0</v>
      </c>
      <c r="BF32" s="761" t="str">
        <f>IF('Project Info'!$D$7="TX",INDEX(EFLH!$U$4:$U$31,MATCH(C32,TX_EFLHSanAntonio[Building Type],0),1),'Project Info'!$D$7&amp;"EquipmentType")</f>
        <v>EquipmentType</v>
      </c>
      <c r="BG32" s="229">
        <f t="shared" si="17"/>
        <v>0</v>
      </c>
      <c r="BH32" s="229">
        <f t="shared" si="18"/>
        <v>0</v>
      </c>
      <c r="BI32" s="229">
        <f t="shared" si="19"/>
        <v>0</v>
      </c>
      <c r="BJ32" s="230" t="e">
        <f>HLOOKUP(BI32,'Equipment Lookups'!$L$4:$AE$55,VLOOKUP(Inventory!BL32,'Equipment Lookups'!$J$5:$K$55,2,FALSE),TRUE)</f>
        <v>#N/A</v>
      </c>
      <c r="BK32" s="231" t="str" cm="1">
        <f t="array" ref="BK32">IF(L32="","",MAX(IF(L32="Unknown",ProgramYear-INDEX('Equipment Lookups'!$AF$5:$AF$38,MATCH(Inventory!BL32,'Equipment Lookups'!$J$5:$J$38,0)),_xlfn.NUMBERVALUE(RIGHT(L32,4))),INDEX(BaselineRow,1)))</f>
        <v/>
      </c>
      <c r="BL32" s="232" t="str">
        <f t="shared" si="74"/>
        <v/>
      </c>
      <c r="BM32" s="232" t="e">
        <f t="shared" si="20"/>
        <v>#N/A</v>
      </c>
      <c r="BN32" s="229">
        <f t="shared" si="95"/>
        <v>0</v>
      </c>
      <c r="BO32" s="229">
        <f t="shared" si="102"/>
        <v>0</v>
      </c>
      <c r="BP32" s="229">
        <f t="shared" si="96"/>
        <v>0</v>
      </c>
      <c r="BQ32" s="229">
        <f t="shared" si="75"/>
        <v>0</v>
      </c>
      <c r="BR32" s="229" t="e">
        <f>HLOOKUP(BP32,'Equipment Lookups'!$L$4:$AE$55,VLOOKUP(Inventory!BS32,'Equipment Lookups'!$J$5:$K$55,2,FALSE),TRUE)</f>
        <v>#N/A</v>
      </c>
      <c r="BS32" s="232" t="str">
        <f t="shared" si="76"/>
        <v/>
      </c>
      <c r="BT32" s="232" t="e">
        <f t="shared" si="22"/>
        <v>#N/A</v>
      </c>
      <c r="BU32" s="230" t="e">
        <f>INDEX('Equipment Lookups'!$AG$5:$AG$55,MATCH(Inventory!BS32,'Equipment Lookups'!$J$5:$J$55,0))</f>
        <v>#N/A</v>
      </c>
      <c r="BV32" s="569" t="str">
        <f ca="1">IFERROR(IF(AL32&lt;&gt;"",AL32,IF(State="TX",INDEX(TX_EFLHSanAntonio[[CFAir Cooled Chiller]:[CFPTRoom]],MATCH(Inventory!C32,TX_EFLHSanAntonio[Building Type],0),MATCH(BU32,EFLH!$G$2:$J$2,0)),VLOOKUP(C32,INDIRECT($BY$5),4,FALSE))),"-")</f>
        <v>-</v>
      </c>
      <c r="BW32" s="582" t="str">
        <f ca="1">IFERROR(IF(AJ32&lt;&gt;"",AJ32,IF(State="TX",INDEX(TX_EFLHSanAntonio[[EFLHcAir Cooled Chiller]:[EFLHcPTRoom]],MATCH(Inventory!C32,TX_EFLHSanAntonio[Building Type],0),MATCH(BU32,EFLH!$O$2:$R$2,0)),VLOOKUP(C32,INDIRECT($BY$5),2,FALSE))),"-")</f>
        <v>-</v>
      </c>
      <c r="BX32" s="583" t="str">
        <f ca="1">IFERROR(IF(AK32&lt;&gt;"",AK32,IF(State="TX",INDEX(TX_EFLHSanAntonio[[EFLHhDX]:[EFLHhPTRoom]],MATCH(Inventory!C32,TX_EFLHSanAntonio[Building Type],0),MATCH(BU32,EFLH!$S$2:$T$2,0)),VLOOKUP(C32,INDIRECT($BY$5),3,FALSE))),"-")</f>
        <v>-</v>
      </c>
      <c r="BY32" s="565">
        <f>IF(AM32&lt;&gt;"",AM32,IF(State="TX",INDEX(TX_EFLHSanAntonio[[NCPAir Cooled Chiller]:[NCPPTRoom]],MATCH(Inventory!C32,TX_EFLHSanAntonio[Building Type],0),MATCH(BU32,EFLH!$K$2:$N$2,0)),0))</f>
        <v>0</v>
      </c>
      <c r="BZ32" s="598" t="e">
        <f t="shared" ca="1" si="23"/>
        <v>#N/A</v>
      </c>
      <c r="CA32" s="599" t="e">
        <f t="shared" ca="1" si="24"/>
        <v>#N/A</v>
      </c>
      <c r="CB32" s="599" t="str">
        <f t="shared" ca="1" si="25"/>
        <v/>
      </c>
      <c r="CC32" s="599" t="e">
        <f t="shared" ca="1" si="26"/>
        <v>#N/A</v>
      </c>
      <c r="CD32" s="599" t="e">
        <f t="shared" ca="1" si="27"/>
        <v>#N/A</v>
      </c>
      <c r="CE32" s="599" t="str">
        <f t="shared" ca="1" si="28"/>
        <v/>
      </c>
      <c r="CF32" s="599" t="b">
        <f t="shared" si="29"/>
        <v>0</v>
      </c>
      <c r="CG32" s="599" t="e">
        <f t="shared" ca="1" si="30"/>
        <v>#N/A</v>
      </c>
      <c r="CH32" s="599" t="e">
        <f t="shared" ca="1" si="31"/>
        <v>#N/A</v>
      </c>
      <c r="CI32" s="599" t="str">
        <f t="shared" ca="1" si="32"/>
        <v/>
      </c>
      <c r="CJ32" s="599" t="str">
        <f t="shared" si="33"/>
        <v/>
      </c>
      <c r="CK32" s="599" t="str">
        <f t="shared" si="34"/>
        <v/>
      </c>
      <c r="CL32" s="600" t="str">
        <f t="shared" si="35"/>
        <v/>
      </c>
      <c r="CM32" s="228" t="e">
        <f t="shared" ca="1" si="36"/>
        <v>#N/A</v>
      </c>
      <c r="CN32" s="228" t="e">
        <f t="shared" ca="1" si="37"/>
        <v>#N/A</v>
      </c>
      <c r="CO32" s="232" t="e">
        <f t="shared" ca="1" si="38"/>
        <v>#N/A</v>
      </c>
      <c r="CP32" s="232">
        <f t="shared" ca="1" si="39"/>
        <v>0</v>
      </c>
      <c r="CQ32" s="228" t="e">
        <f t="shared" ca="1" si="40"/>
        <v>#N/A</v>
      </c>
      <c r="CR32" s="228" t="e">
        <f t="shared" ca="1" si="41"/>
        <v>#N/A</v>
      </c>
      <c r="CS32" s="232" t="e">
        <f t="shared" ca="1" si="42"/>
        <v>#N/A</v>
      </c>
      <c r="CT32" s="232" t="e">
        <f t="shared" ca="1" si="43"/>
        <v>#VALUE!</v>
      </c>
      <c r="CU32" s="228" t="e">
        <f t="shared" ca="1" si="44"/>
        <v>#N/A</v>
      </c>
      <c r="CV32" s="228" t="e">
        <f t="shared" ca="1" si="45"/>
        <v>#N/A</v>
      </c>
      <c r="CW32" s="232" t="e">
        <f t="shared" ca="1" si="46"/>
        <v>#N/A</v>
      </c>
      <c r="CX32" s="237" t="e">
        <f t="shared" ca="1" si="47"/>
        <v>#VALUE!</v>
      </c>
      <c r="CY32" s="233">
        <f t="shared" si="77"/>
        <v>0</v>
      </c>
      <c r="CZ32" s="233">
        <f t="shared" si="78"/>
        <v>0</v>
      </c>
      <c r="DA32" s="246">
        <f t="shared" si="79"/>
        <v>0</v>
      </c>
      <c r="DB32" s="246">
        <f t="shared" si="80"/>
        <v>0</v>
      </c>
      <c r="DC32" s="562" t="e">
        <f>INDEX('Utility Admin'!$P$2:$AD$2,1,MATCH($Q32,'Utility Admin'!$P$3:$AD$3,0))</f>
        <v>#N/A</v>
      </c>
      <c r="DD32" s="131" t="e">
        <f>INDEX('Utility Admin'!AE$2:AS$2,1,MATCH($Q32,'Utility Admin'!$P$3:$AD$3,0))</f>
        <v>#N/A</v>
      </c>
      <c r="DE32" s="239" t="e">
        <f>IF(kWhOverride="",INDEX('Utility Admin'!$AT$2:$BH$2,1,MATCH($Q32,'Utility Admin'!$P$3:$AD$3,0)),kWhOverride)</f>
        <v>#N/A</v>
      </c>
      <c r="DF32" s="230" t="str" cm="1">
        <f t="array" ref="DF32">IF(B32="New Construction","",IF(L32="","",MAX(ProgramYear-BK32,1,)))</f>
        <v/>
      </c>
      <c r="DG32" s="234" t="e">
        <f>INDEX('Equipment Lookups'!$AI$5:$BV$55,MATCH(Inventory!BL32,'Equipment Lookups'!$J$5:$J$55,0),MATCH(Inventory!DF32,'Equipment Lookups'!$AI$4:$BV$4,0))</f>
        <v>#N/A</v>
      </c>
      <c r="DH32" s="230" t="e">
        <f>INDEX('Equipment Lookups'!$AH$5:$AH$55,MATCH(Inventory!BS32,'Equipment Lookups'!$J$5:$J$55,0))</f>
        <v>#N/A</v>
      </c>
      <c r="DI32" s="131" t="e">
        <f t="shared" si="81"/>
        <v>#N/A</v>
      </c>
      <c r="DJ32" s="131" t="e">
        <f t="shared" ca="1" si="82"/>
        <v>#N/A</v>
      </c>
      <c r="DK32" s="131" t="e">
        <f t="shared" ca="1" si="83"/>
        <v>#N/A</v>
      </c>
      <c r="DL32" s="131" t="e">
        <f t="shared" ca="1" si="84"/>
        <v>#N/A</v>
      </c>
      <c r="DM32" s="131" t="e">
        <f t="shared" ca="1" si="85"/>
        <v>#N/A</v>
      </c>
      <c r="DN32" s="131" t="e">
        <f t="shared" ca="1" si="86"/>
        <v>#N/A</v>
      </c>
      <c r="DO32" s="131" t="e">
        <f t="shared" ca="1" si="87"/>
        <v>#N/A</v>
      </c>
      <c r="DP32" s="131" t="e">
        <f t="shared" ca="1" si="97"/>
        <v>#N/A</v>
      </c>
      <c r="DQ32" s="131" t="e">
        <f t="shared" ca="1" si="98"/>
        <v>#N/A</v>
      </c>
      <c r="DR32" s="131" t="e">
        <f t="shared" ca="1" si="88"/>
        <v>#N/A</v>
      </c>
      <c r="DS32" s="131" t="e">
        <f t="shared" ca="1" si="89"/>
        <v>#N/A</v>
      </c>
      <c r="DT32" s="131" t="e">
        <f t="shared" ca="1" si="90"/>
        <v>#N/A</v>
      </c>
      <c r="DU32" s="131" t="e">
        <f t="shared" ca="1" si="99"/>
        <v>#N/A</v>
      </c>
      <c r="DV32" s="131" t="e">
        <f t="shared" si="91"/>
        <v>#N/A</v>
      </c>
      <c r="DW32" s="131" t="e">
        <f t="shared" si="100"/>
        <v>#N/A</v>
      </c>
      <c r="DX32" s="131" t="e">
        <f t="shared" ca="1" si="92"/>
        <v>#N/A</v>
      </c>
      <c r="DY32" s="131" t="e">
        <f t="shared" ca="1" si="93"/>
        <v>#N/A</v>
      </c>
      <c r="DZ32" s="131" t="e">
        <f t="shared" ca="1" si="94"/>
        <v>#N/A</v>
      </c>
      <c r="EA32" s="131" t="e">
        <f t="shared" ca="1" si="101"/>
        <v>#N/A</v>
      </c>
      <c r="EB32" s="250">
        <f t="shared" ca="1" si="64"/>
        <v>0</v>
      </c>
      <c r="EC32" s="131">
        <f t="shared" ca="1" si="65"/>
        <v>0</v>
      </c>
      <c r="ED32" s="131">
        <f t="shared" ca="1" si="66"/>
        <v>0</v>
      </c>
    </row>
    <row r="33" spans="1:76" x14ac:dyDescent="0.25">
      <c r="A33" s="117"/>
      <c r="B33" s="117"/>
      <c r="C33" s="117"/>
      <c r="D33" s="117"/>
      <c r="E33" s="117"/>
      <c r="F33" s="117"/>
      <c r="G33" s="117"/>
      <c r="H33" s="117"/>
      <c r="I33" s="117"/>
      <c r="J33" s="117"/>
      <c r="K33" s="117"/>
      <c r="L33" s="117"/>
      <c r="M33" s="117"/>
      <c r="N33" s="117"/>
      <c r="O33" s="117"/>
      <c r="P33" s="117"/>
      <c r="Q33" s="117"/>
      <c r="R33" s="117"/>
      <c r="S33" s="117"/>
      <c r="T33" s="117"/>
      <c r="U33" s="117"/>
      <c r="V33" s="117"/>
      <c r="W33" s="117"/>
      <c r="X33" s="117"/>
      <c r="Y33" s="117"/>
      <c r="Z33" s="117"/>
      <c r="AA33" s="117"/>
      <c r="AB33" s="117"/>
      <c r="AC33" s="117"/>
      <c r="AD33" s="117"/>
      <c r="AE33" s="117"/>
      <c r="AF33" s="117"/>
      <c r="AG33" s="117"/>
      <c r="AH33" s="117"/>
      <c r="AI33" s="117"/>
      <c r="AJ33" s="117"/>
      <c r="AK33" s="117"/>
      <c r="AL33" s="117"/>
      <c r="AM33" s="117"/>
      <c r="AN33" s="671"/>
      <c r="AO33" s="671"/>
      <c r="AP33" s="117"/>
      <c r="AQ33" s="117"/>
      <c r="AR33" s="117"/>
      <c r="AS33" s="117"/>
      <c r="AT33" s="117"/>
      <c r="AU33" s="117"/>
      <c r="AV33" s="117"/>
      <c r="AW33" s="117"/>
      <c r="AX33" s="117"/>
      <c r="AY33" s="117"/>
      <c r="AZ33" s="117"/>
      <c r="BV33" s="117"/>
      <c r="BW33" s="117"/>
      <c r="BX33" s="117"/>
    </row>
    <row r="34" spans="1:76" hidden="1" x14ac:dyDescent="0.25">
      <c r="A34" s="117"/>
      <c r="B34" s="117"/>
      <c r="C34" s="117"/>
      <c r="D34" s="117"/>
      <c r="E34" s="117"/>
      <c r="F34" s="117"/>
      <c r="G34" s="117"/>
      <c r="H34" s="117"/>
      <c r="I34" s="253" t="str">
        <f>IF(G34="","",IF(RIGHT(G34,7)="Chiller","Tons","Btuh"))</f>
        <v/>
      </c>
      <c r="J34" s="117"/>
      <c r="K34" s="117"/>
      <c r="L34" s="117"/>
      <c r="M34" s="117"/>
      <c r="N34" s="117"/>
      <c r="O34" s="117"/>
      <c r="P34" s="117"/>
      <c r="Q34" s="117"/>
      <c r="R34" s="117"/>
      <c r="S34" s="252" t="str">
        <f t="shared" ref="S32:S34" si="103">IF(Q34="","",IF(RIGHT(Q34,7)="Chiller","Tons","Btuh"))</f>
        <v/>
      </c>
      <c r="T34" s="117"/>
      <c r="U34" s="252" t="str">
        <f t="shared" ref="U32:U34" si="104">IF(IFERROR(SEARCH("Heat",Q34,1)&gt;0,FALSE),S34,"")</f>
        <v/>
      </c>
      <c r="V34" s="117"/>
      <c r="W34" s="117"/>
      <c r="X34" s="253" t="str">
        <f>IF(RIGHT(Q34,7)="Chiller","A","")</f>
        <v/>
      </c>
      <c r="Y34" s="117"/>
      <c r="Z34" s="117"/>
      <c r="AA34" s="117"/>
      <c r="AB34" s="117"/>
      <c r="AC34" s="639" t="str">
        <f>IF(Q34="","",IF(LEFT(Q34,5)="Water","kW/ton",IF(LEFT(Q34,3)="Air","EER",IF(LEFT(Q34,4)="Room","CEER",IF(LEFT(Q34,5)="Compu","SCOP",IF(AND(BP34&lt;65000,LEFT(Q34,4)="Unit"),"EER2/SEER2","EER/IEER"))))))</f>
        <v/>
      </c>
      <c r="AD34" s="117"/>
      <c r="AE34" s="253" t="str">
        <f>IFERROR(IF(BA34=0,"",IF(LEFT(Q34,4)="Pack","COP",IF((BQ34*12000)&lt;65000,"HSPF" &amp; IF(LEFT(Q34,4)="Unit","2",""),"COP"))),"")</f>
        <v/>
      </c>
      <c r="AF34" s="117"/>
      <c r="AG34" s="117"/>
      <c r="AH34" s="117"/>
      <c r="AI34" s="117"/>
      <c r="AJ34" s="117"/>
      <c r="AK34" s="117"/>
      <c r="AL34" s="117"/>
      <c r="AM34" s="117"/>
      <c r="AN34" s="671"/>
      <c r="AO34" s="671"/>
      <c r="AP34" s="117"/>
      <c r="AQ34" s="117"/>
      <c r="AR34" s="117"/>
      <c r="AS34" s="117"/>
      <c r="AT34" s="117"/>
      <c r="AU34" s="117"/>
      <c r="AV34" s="117"/>
      <c r="AW34" s="117"/>
      <c r="AX34" s="117"/>
      <c r="AY34" s="117"/>
      <c r="AZ34" s="117"/>
      <c r="BV34" s="117"/>
      <c r="BW34" s="117"/>
      <c r="BX34" s="117"/>
    </row>
    <row r="35" spans="1:76" x14ac:dyDescent="0.25">
      <c r="A35" s="117"/>
      <c r="B35" s="117"/>
      <c r="C35" s="117"/>
      <c r="D35" s="117"/>
      <c r="E35" s="117"/>
      <c r="F35" s="117"/>
      <c r="G35" s="117"/>
      <c r="H35" s="117"/>
      <c r="I35" s="117"/>
      <c r="J35" s="117"/>
      <c r="K35" s="117"/>
      <c r="L35" s="117"/>
      <c r="M35" s="117"/>
      <c r="N35" s="117"/>
      <c r="O35" s="117"/>
      <c r="P35" s="117"/>
      <c r="Q35" s="117"/>
      <c r="R35" s="117"/>
      <c r="S35" s="117"/>
      <c r="T35" s="117"/>
      <c r="U35" s="117"/>
      <c r="V35" s="117"/>
      <c r="W35" s="117"/>
      <c r="X35" s="117"/>
      <c r="Y35" s="117"/>
      <c r="Z35" s="117"/>
      <c r="AA35" s="117"/>
      <c r="AB35" s="117"/>
      <c r="AC35" s="117"/>
      <c r="AD35" s="117"/>
      <c r="AE35" s="117"/>
      <c r="AF35" s="117"/>
      <c r="AG35" s="117"/>
      <c r="AH35" s="117"/>
      <c r="AI35" s="117"/>
      <c r="AJ35" s="117"/>
      <c r="AK35" s="117"/>
      <c r="AL35" s="117"/>
      <c r="AM35" s="117"/>
      <c r="AN35" s="671"/>
      <c r="AO35" s="671"/>
      <c r="AP35" s="117"/>
      <c r="AQ35" s="117"/>
      <c r="AR35" s="117"/>
      <c r="AS35" s="117"/>
      <c r="AT35" s="117"/>
      <c r="AU35" s="117"/>
      <c r="AV35" s="117"/>
      <c r="AW35" s="117"/>
      <c r="AX35" s="117"/>
      <c r="AY35" s="117"/>
      <c r="AZ35" s="117"/>
      <c r="BV35" s="117"/>
      <c r="BW35" s="117"/>
      <c r="BX35" s="117"/>
    </row>
  </sheetData>
  <sheetProtection algorithmName="SHA-512" hashValue="JpdwcaWvaAU2cjq1U0g7JsXqW7tq7W5GLo3Y4tdsx0CL8G7LtixwLvhjxzqx3GAPa1DnfjwxJ/9RAThR4ZqIig==" saltValue="Mg1CbKFE6dWdQ0o3w1iHQQ==" spinCount="100000" sheet="1" objects="1" scenarios="1"/>
  <mergeCells count="48">
    <mergeCell ref="B5:B7"/>
    <mergeCell ref="Y6:Y7"/>
    <mergeCell ref="Z6:Z7"/>
    <mergeCell ref="O6:O7"/>
    <mergeCell ref="K6:K7"/>
    <mergeCell ref="X6:X7"/>
    <mergeCell ref="D6:D7"/>
    <mergeCell ref="N6:N7"/>
    <mergeCell ref="M6:M7"/>
    <mergeCell ref="C5:C7"/>
    <mergeCell ref="G6:G7"/>
    <mergeCell ref="E6:E7"/>
    <mergeCell ref="F6:F7"/>
    <mergeCell ref="AA1:AC4"/>
    <mergeCell ref="Q6:Q7"/>
    <mergeCell ref="R6:S6"/>
    <mergeCell ref="H6:I6"/>
    <mergeCell ref="T6:U6"/>
    <mergeCell ref="W6:W7"/>
    <mergeCell ref="V6:V7"/>
    <mergeCell ref="J6:J7"/>
    <mergeCell ref="L6:L7"/>
    <mergeCell ref="P6:P7"/>
    <mergeCell ref="AX6:AX7"/>
    <mergeCell ref="AF6:AF7"/>
    <mergeCell ref="AO5:AO7"/>
    <mergeCell ref="AP5:AP7"/>
    <mergeCell ref="AN5:AN7"/>
    <mergeCell ref="AR5:AR7"/>
    <mergeCell ref="AV6:AV7"/>
    <mergeCell ref="AU6:AU7"/>
    <mergeCell ref="AG5:AI5"/>
    <mergeCell ref="AD6:AE6"/>
    <mergeCell ref="AA6:AC6"/>
    <mergeCell ref="BV5:BX6"/>
    <mergeCell ref="BA5:BC5"/>
    <mergeCell ref="AY6:AY7"/>
    <mergeCell ref="AL6:AL7"/>
    <mergeCell ref="AM6:AM7"/>
    <mergeCell ref="AJ5:AM5"/>
    <mergeCell ref="AJ6:AJ7"/>
    <mergeCell ref="AK6:AK7"/>
    <mergeCell ref="AU5:AY5"/>
    <mergeCell ref="AS5:AS7"/>
    <mergeCell ref="AW6:AW7"/>
    <mergeCell ref="AQ5:AQ7"/>
    <mergeCell ref="AG6:AH6"/>
    <mergeCell ref="AI6:AI7"/>
  </mergeCells>
  <conditionalFormatting sqref="T8:U32 AD8:AE32">
    <cfRule type="expression" dxfId="73" priority="68">
      <formula>IFERROR(SEARCH("Heat",$Q8,1)&lt;0,TRUE)</formula>
    </cfRule>
  </conditionalFormatting>
  <conditionalFormatting sqref="D11:L32 J8:L8 L9 D10:H10 J10:L10 I8:I10">
    <cfRule type="expression" dxfId="72" priority="70">
      <formula>$B8&lt;&gt;"Early Retirement"</formula>
    </cfRule>
  </conditionalFormatting>
  <conditionalFormatting sqref="AB8:AB32 AD8:AE32">
    <cfRule type="expression" dxfId="71" priority="50">
      <formula>IFERROR(SEARCH("Room",$Q8,1)&gt;0,FALSE)</formula>
    </cfRule>
  </conditionalFormatting>
  <conditionalFormatting sqref="X8:Z32">
    <cfRule type="expression" dxfId="70" priority="45">
      <formula>NOT(IFERROR(SEARCH("Chiller",$Q8,1)&gt;0,FALSE))</formula>
    </cfRule>
  </conditionalFormatting>
  <conditionalFormatting sqref="H11:I32 H10 I8:I10">
    <cfRule type="expression" dxfId="69" priority="42">
      <formula>BD8="CAP"</formula>
    </cfRule>
  </conditionalFormatting>
  <conditionalFormatting sqref="O8:O32">
    <cfRule type="duplicateValues" dxfId="68" priority="41"/>
  </conditionalFormatting>
  <conditionalFormatting sqref="AU8:AV32">
    <cfRule type="expression" dxfId="67" priority="39">
      <formula>$AC8="kW/ton"</formula>
    </cfRule>
  </conditionalFormatting>
  <conditionalFormatting sqref="AB8:AB32">
    <cfRule type="expression" dxfId="66" priority="52">
      <formula>IFERROR(SEARCH("Terminal",$Q8,1)&gt;0,FALSE)</formula>
    </cfRule>
  </conditionalFormatting>
  <conditionalFormatting sqref="G10:G32 Q16:R32 Q10:Q15 R10:R11">
    <cfRule type="expression" dxfId="65" priority="36">
      <formula>$BC10=1</formula>
    </cfRule>
  </conditionalFormatting>
  <conditionalFormatting sqref="R16:R32 R10:R11">
    <cfRule type="expression" dxfId="64" priority="35">
      <formula>S10="tons"</formula>
    </cfRule>
  </conditionalFormatting>
  <conditionalFormatting sqref="AA8:AB32">
    <cfRule type="expression" dxfId="63" priority="37">
      <formula>$AC8="kW/ton"</formula>
    </cfRule>
  </conditionalFormatting>
  <conditionalFormatting sqref="H10:H32">
    <cfRule type="expression" dxfId="62" priority="34">
      <formula>I10="tons"</formula>
    </cfRule>
  </conditionalFormatting>
  <conditionalFormatting sqref="R12">
    <cfRule type="expression" dxfId="61" priority="30">
      <formula>$BC12=1</formula>
    </cfRule>
  </conditionalFormatting>
  <conditionalFormatting sqref="R12">
    <cfRule type="expression" dxfId="60" priority="29">
      <formula>S12="tons"</formula>
    </cfRule>
  </conditionalFormatting>
  <conditionalFormatting sqref="R13">
    <cfRule type="expression" dxfId="59" priority="28">
      <formula>$BC13=1</formula>
    </cfRule>
  </conditionalFormatting>
  <conditionalFormatting sqref="R13">
    <cfRule type="expression" dxfId="58" priority="27">
      <formula>S13="tons"</formula>
    </cfRule>
  </conditionalFormatting>
  <conditionalFormatting sqref="R14">
    <cfRule type="expression" dxfId="57" priority="26">
      <formula>$BC14=1</formula>
    </cfRule>
  </conditionalFormatting>
  <conditionalFormatting sqref="R14">
    <cfRule type="expression" dxfId="56" priority="25">
      <formula>S14="tons"</formula>
    </cfRule>
  </conditionalFormatting>
  <conditionalFormatting sqref="R15">
    <cfRule type="expression" dxfId="55" priority="24">
      <formula>$BC15=1</formula>
    </cfRule>
  </conditionalFormatting>
  <conditionalFormatting sqref="R15">
    <cfRule type="expression" dxfId="54" priority="23">
      <formula>S15="tons"</formula>
    </cfRule>
  </conditionalFormatting>
  <conditionalFormatting sqref="T8:T11">
    <cfRule type="expression" dxfId="53" priority="22">
      <formula>$BC8=1</formula>
    </cfRule>
  </conditionalFormatting>
  <conditionalFormatting sqref="T8:T11">
    <cfRule type="expression" dxfId="52" priority="21">
      <formula>U8="tons"</formula>
    </cfRule>
  </conditionalFormatting>
  <conditionalFormatting sqref="T12">
    <cfRule type="expression" dxfId="51" priority="20">
      <formula>$BC12=1</formula>
    </cfRule>
  </conditionalFormatting>
  <conditionalFormatting sqref="T12">
    <cfRule type="expression" dxfId="50" priority="19">
      <formula>U12="tons"</formula>
    </cfRule>
  </conditionalFormatting>
  <conditionalFormatting sqref="T13">
    <cfRule type="expression" dxfId="49" priority="18">
      <formula>$BC13=1</formula>
    </cfRule>
  </conditionalFormatting>
  <conditionalFormatting sqref="T13">
    <cfRule type="expression" dxfId="48" priority="17">
      <formula>U13="tons"</formula>
    </cfRule>
  </conditionalFormatting>
  <conditionalFormatting sqref="W8:W32">
    <cfRule type="expression" dxfId="47" priority="556">
      <formula>OR(State="TX",NOT(OR(AND(IFERROR(SEARCH("Unitary",Q8,1)&gt;0,FALSE),BP8&gt;=65000),$Q8="Geothermal Air Conditioner")))</formula>
    </cfRule>
  </conditionalFormatting>
  <conditionalFormatting sqref="V8:V32">
    <cfRule type="expression" dxfId="46" priority="557">
      <formula>AND(Q8="Unitary Heat Pump",BP8&gt;=65000)</formula>
    </cfRule>
    <cfRule type="expression" dxfId="45" priority="558">
      <formula>AND(Q8="Unitary Air Conditioner",BP8&gt;=65000)</formula>
    </cfRule>
    <cfRule type="expression" dxfId="44" priority="559">
      <formula>Q8="VRF Air Conditioner"</formula>
    </cfRule>
    <cfRule type="expression" dxfId="43" priority="560">
      <formula>Q8="Single Package Vertical Heat Pump"</formula>
    </cfRule>
    <cfRule type="expression" dxfId="42" priority="561">
      <formula>Q8="Single Package Vertical Air Conditioner"</formula>
    </cfRule>
    <cfRule type="expression" dxfId="41" priority="562">
      <formula>AND(Q8="VRF Heat Pump",BP8&lt;65000)</formula>
    </cfRule>
  </conditionalFormatting>
  <conditionalFormatting sqref="J8 J10:J32">
    <cfRule type="expression" dxfId="40" priority="563">
      <formula>AND(G8="Unitary Heat Pump",BI8&gt;=65000)</formula>
    </cfRule>
    <cfRule type="expression" dxfId="39" priority="564">
      <formula>AND(G8="Unitary Air Conditioner",BI8&gt;=65000)</formula>
    </cfRule>
    <cfRule type="expression" dxfId="38" priority="565">
      <formula>G8="VRF Air Conditioner"</formula>
    </cfRule>
    <cfRule type="expression" dxfId="37" priority="566">
      <formula>G8="Single Package Vertical Heat Pump"</formula>
    </cfRule>
    <cfRule type="expression" dxfId="36" priority="567">
      <formula>G8="Single Package Vertical Air Conditioner"</formula>
    </cfRule>
    <cfRule type="expression" dxfId="35" priority="568">
      <formula>AND(G8="VRF Heat Pump",BI8&lt;65000)</formula>
    </cfRule>
  </conditionalFormatting>
  <conditionalFormatting sqref="D8:H9">
    <cfRule type="expression" dxfId="34" priority="13">
      <formula>$B8&lt;&gt;"Early Retirement"</formula>
    </cfRule>
  </conditionalFormatting>
  <conditionalFormatting sqref="H8:H9">
    <cfRule type="expression" dxfId="33" priority="12">
      <formula>BD8="CAP"</formula>
    </cfRule>
  </conditionalFormatting>
  <conditionalFormatting sqref="G8:G9">
    <cfRule type="expression" dxfId="32" priority="11">
      <formula>$BC8=1</formula>
    </cfRule>
  </conditionalFormatting>
  <conditionalFormatting sqref="H8:H9">
    <cfRule type="expression" dxfId="31" priority="10">
      <formula>I8="tons"</formula>
    </cfRule>
  </conditionalFormatting>
  <conditionalFormatting sqref="J9:K9">
    <cfRule type="expression" dxfId="30" priority="3">
      <formula>$B9&lt;&gt;"Early Retirement"</formula>
    </cfRule>
  </conditionalFormatting>
  <conditionalFormatting sqref="J9">
    <cfRule type="expression" dxfId="29" priority="4">
      <formula>AND(G9="Unitary Heat Pump",BI9&gt;=65000)</formula>
    </cfRule>
    <cfRule type="expression" dxfId="28" priority="5">
      <formula>AND(G9="Unitary Air Conditioner",BI9&gt;=65000)</formula>
    </cfRule>
    <cfRule type="expression" dxfId="27" priority="6">
      <formula>G9="VRF Air Conditioner"</formula>
    </cfRule>
    <cfRule type="expression" dxfId="26" priority="7">
      <formula>G9="Single Package Vertical Heat Pump"</formula>
    </cfRule>
    <cfRule type="expression" dxfId="25" priority="8">
      <formula>G9="Single Package Vertical Air Conditioner"</formula>
    </cfRule>
    <cfRule type="expression" dxfId="24" priority="9">
      <formula>AND(G9="VRF Heat Pump",BI9&lt;65000)</formula>
    </cfRule>
  </conditionalFormatting>
  <conditionalFormatting sqref="Q8:R9">
    <cfRule type="expression" dxfId="23" priority="2">
      <formula>$BC8=1</formula>
    </cfRule>
  </conditionalFormatting>
  <conditionalFormatting sqref="R8:R9">
    <cfRule type="expression" dxfId="22" priority="1">
      <formula>S8="tons"</formula>
    </cfRule>
  </conditionalFormatting>
  <dataValidations xWindow="562" yWindow="223" count="25">
    <dataValidation type="list" allowBlank="1" showErrorMessage="1" prompt="Please select 1 equipment description from the available list." sqref="J8" xr:uid="{00000000-0002-0000-0200-000000000000}">
      <formula1>INDIRECT(SUBSTITUTE(G8," ",""))</formula1>
    </dataValidation>
    <dataValidation type="list" allowBlank="1" showErrorMessage="1" prompt="Please select 1 equipment description from the available list." sqref="V8" xr:uid="{00000000-0002-0000-0200-000001000000}">
      <formula1>INDIRECT(SUBSTITUTE(Q8," ",""))</formula1>
    </dataValidation>
    <dataValidation allowBlank="1" showErrorMessage="1" prompt="_x000a_" sqref="DG8:DG32" xr:uid="{00000000-0002-0000-0200-000002000000}"/>
    <dataValidation type="list" allowBlank="1" showErrorMessage="1" promptTitle="Manufacture Year" prompt="The manufacture year is ony required for early retirement application. It is not required for replace on burnout and new construction project. _x000a_" sqref="L8:L32" xr:uid="{00000000-0002-0000-0200-000003000000}">
      <formula1>ManufYear</formula1>
    </dataValidation>
    <dataValidation allowBlank="1" showErrorMessage="1" sqref="BU8:BU32 CT8:CT32 CJ8:CL32 CX8:CX32 CR8:CR32 CP8:CP32 DH8:DH32 CV8:CV32 BY8:BY32 BJ8:BJ32 CN8:CN32 DF8:DF32 BD8:BF32" xr:uid="{00000000-0002-0000-0200-000004000000}"/>
    <dataValidation allowBlank="1" showErrorMessage="1" promptTitle="Full Load Rating" prompt="Input the equipment rating (only a number)." sqref="AD8:AD32 AA8:AB32 AU8:AZ32" xr:uid="{00000000-0002-0000-0200-000005000000}"/>
    <dataValidation type="list" allowBlank="1" showInputMessage="1" showErrorMessage="1" sqref="AE8:AE32" xr:uid="{00000000-0002-0000-0200-000007000000}">
      <formula1>"HSPF,HSPF2,COP"</formula1>
    </dataValidation>
    <dataValidation type="list" allowBlank="1" showInputMessage="1" showErrorMessage="1" sqref="U8:U32 U34 I8:I32" xr:uid="{00000000-0002-0000-0200-000008000000}">
      <formula1>"tons, Btuh"</formula1>
    </dataValidation>
    <dataValidation type="whole" allowBlank="1" showInputMessage="1" showErrorMessage="1" sqref="AF8:AF32 K8:K32" xr:uid="{00000000-0002-0000-0200-000009000000}">
      <formula1>1</formula1>
      <formula2>1000</formula2>
    </dataValidation>
    <dataValidation type="list" allowBlank="1" showErrorMessage="1" promptTitle="Level 1 Description" prompt="Please select a Level 1 equipment description from the available list." sqref="J9:J32" xr:uid="{00000000-0002-0000-0200-00000B000000}">
      <formula1>INDIRECT(SUBSTITUTE(G9," ",""))</formula1>
    </dataValidation>
    <dataValidation type="list" allowBlank="1" showErrorMessage="1" promptTitle="Basic Equipment Type" prompt="Please select the basic equipment type from the available list of equipment types for the facility." sqref="G8:G32 Q8:Q32" xr:uid="{00000000-0002-0000-0200-00000C000000}">
      <formula1>INDIRECT($BF8)</formula1>
    </dataValidation>
    <dataValidation type="list" allowBlank="1" showInputMessage="1" showErrorMessage="1" sqref="X34 X8:X32" xr:uid="{00000000-0002-0000-0200-00000D000000}">
      <formula1>"A,B"</formula1>
    </dataValidation>
    <dataValidation type="list" allowBlank="1" showInputMessage="1" showErrorMessage="1" sqref="X34 W8:X32" xr:uid="{00000000-0002-0000-0200-00000F000000}">
      <formula1>INDIRECT(SUBSTITUTE(Q8," ","")&amp;"HeatingType")</formula1>
    </dataValidation>
    <dataValidation type="list" allowBlank="1" showErrorMessage="1" promptTitle="Level 1 Description" prompt="Please select a Level 1 equipment description from the available list." sqref="V9:V32" xr:uid="{00000000-0002-0000-0200-000010000000}">
      <formula1>INDIRECT(SUBSTITUTE(Q9," ",""))</formula1>
    </dataValidation>
    <dataValidation type="list" allowBlank="1" showInputMessage="1" showErrorMessage="1" sqref="AC34 AC8:AD32" xr:uid="{00000000-0002-0000-0200-000011000000}">
      <formula1>"EER,EER/IEER,EER2/SEER2,kW/ton,CEER,SCOP"</formula1>
    </dataValidation>
    <dataValidation type="whole" allowBlank="1" showErrorMessage="1" promptTitle="Full Load Rating" prompt="Input the equipment rating (only a number)." sqref="AJ8:AK32" xr:uid="{7517A163-DDD3-4459-83C3-D3749D4D56E3}">
      <formula1>0</formula1>
      <formula2>8760</formula2>
    </dataValidation>
    <dataValidation type="decimal" allowBlank="1" showErrorMessage="1" promptTitle="Full Load Rating" prompt="Input the equipment rating (only a number)." sqref="AL8:AM32" xr:uid="{0BFC4590-DAC4-4F7E-BBC3-A6DB5EAFB3BF}">
      <formula1>0</formula1>
      <formula2>2</formula2>
    </dataValidation>
    <dataValidation allowBlank="1" showErrorMessage="1" promptTitle="Building Type" prompt="Please select a building type from the list." sqref="D8:E32" xr:uid="{4DBC7A7A-6D5D-43B7-B8B9-3C03983C0D25}"/>
    <dataValidation allowBlank="1" showInputMessage="1" showErrorMessage="1" prompt="Path A favors Full-Load efficiency while Path B favors Part-Load efficiency. If the chiller meets both, choose the option that results in the best incentive." sqref="X6:X7" xr:uid="{C85B4BA2-722B-4CF2-A51E-C70881E75347}"/>
    <dataValidation allowBlank="1" showInputMessage="1" showErrorMessage="1" prompt="&quot;Other&quot; includes gas-fired heating. For heat pumps, choose the source type for the auxiliary/backup heating." sqref="W6:W7" xr:uid="{F01DBCCE-0F14-48C8-B9B8-CC607E63FE04}"/>
    <dataValidation allowBlank="1" showInputMessage="1" showErrorMessage="1" prompt="If unit does not have a part-load rating, use the full-load rating." sqref="AB7" xr:uid="{B8D97AC3-C98F-492B-B9B0-2E3C5C12B352}"/>
    <dataValidation allowBlank="1" showInputMessage="1" showErrorMessage="1" prompt="Cooling efficiency should be at AHRI standard conditions." sqref="AA6:AC6" xr:uid="{AE68EC27-C6D7-4A1C-B48A-F8EF39BA9AA4}"/>
    <dataValidation allowBlank="1" showInputMessage="1" showErrorMessage="1" prompt="AHRI-rated heating at 47F outdoor air temp." sqref="AD6:AE6" xr:uid="{42E12111-9B14-40D7-AA1D-3174D961756E}"/>
    <dataValidation allowBlank="1" showInputMessage="1" showErrorMessage="1" prompt="Only necessary for Air-Cooled to Water-Cooled chiller conversions." sqref="Y6:Z7" xr:uid="{A548C8E7-78A5-4802-ABDA-B914B0A30458}"/>
    <dataValidation type="list" allowBlank="1" showInputMessage="1" showErrorMessage="1" sqref="S34 S8:S32" xr:uid="{E78B0B5E-7614-4D31-9FFB-98730D468AC4}">
      <formula1>"Tons, Btuh"</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xWindow="562" yWindow="223" count="2">
        <x14:dataValidation type="list" allowBlank="1" showErrorMessage="1" promptTitle="Building Type" prompt="Please select a building type from the list." xr:uid="{00000000-0002-0000-0200-000012000000}">
          <x14:formula1>
            <xm:f>INDIRECT('Project Info'!$D$7&amp;"BuildingType")</xm:f>
          </x14:formula1>
          <xm:sqref>C8:C32</xm:sqref>
        </x14:dataValidation>
        <x14:dataValidation type="list" allowBlank="1" showErrorMessage="1" promptTitle="Application Type" prompt="Please include whether the measure is a replace on burnout, new construction or early retirement measure." xr:uid="{00000000-0002-0000-0200-000013000000}">
          <x14:formula1>
            <xm:f>INDIRECT('Utility Admin'!$J$2)</xm:f>
          </x14:formula1>
          <xm:sqref>B8:B32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7">
    <tabColor theme="7" tint="-0.499984740745262"/>
  </sheetPr>
  <dimension ref="A1:H18"/>
  <sheetViews>
    <sheetView zoomScaleNormal="100" workbookViewId="0">
      <selection activeCell="C18" sqref="C18"/>
    </sheetView>
  </sheetViews>
  <sheetFormatPr defaultColWidth="9.140625" defaultRowHeight="15" x14ac:dyDescent="0.25"/>
  <cols>
    <col min="1" max="1" width="2.7109375" style="1" customWidth="1"/>
    <col min="2" max="2" width="40.7109375" style="1" customWidth="1"/>
    <col min="3" max="8" width="15.7109375" style="1" customWidth="1"/>
    <col min="9" max="16384" width="9.140625" style="1"/>
  </cols>
  <sheetData>
    <row r="1" spans="1:8" ht="12" customHeight="1" thickBot="1" x14ac:dyDescent="0.3">
      <c r="A1" s="297">
        <v>1</v>
      </c>
      <c r="B1" s="298"/>
      <c r="C1" s="298"/>
      <c r="D1" s="298"/>
      <c r="E1" s="298"/>
      <c r="F1" s="298"/>
      <c r="G1" s="298"/>
      <c r="H1" s="298"/>
    </row>
    <row r="2" spans="1:8" ht="18" customHeight="1" thickBot="1" x14ac:dyDescent="0.3">
      <c r="A2" s="298"/>
      <c r="B2" s="299" t="s">
        <v>178</v>
      </c>
      <c r="C2" s="859" t="str">
        <f>IF('Project Info'!D4="","",'Project Info'!D4)</f>
        <v/>
      </c>
      <c r="D2" s="860"/>
      <c r="E2" s="860"/>
      <c r="F2" s="860"/>
      <c r="G2" s="861"/>
      <c r="H2" s="300"/>
    </row>
    <row r="3" spans="1:8" ht="12" customHeight="1" thickBot="1" x14ac:dyDescent="0.3">
      <c r="A3" s="298"/>
      <c r="B3" s="298"/>
      <c r="C3" s="298"/>
      <c r="D3" s="298"/>
      <c r="E3" s="298"/>
      <c r="F3" s="298"/>
      <c r="G3" s="298"/>
      <c r="H3" s="301"/>
    </row>
    <row r="4" spans="1:8" ht="32.1" customHeight="1" x14ac:dyDescent="0.25">
      <c r="A4" s="298"/>
      <c r="B4" s="298"/>
      <c r="C4" s="298"/>
      <c r="D4" s="302" t="s">
        <v>874</v>
      </c>
      <c r="E4" s="303" t="s">
        <v>875</v>
      </c>
      <c r="F4" s="303" t="s">
        <v>876</v>
      </c>
      <c r="G4" s="304" t="s">
        <v>877</v>
      </c>
      <c r="H4" s="310" t="s">
        <v>878</v>
      </c>
    </row>
    <row r="5" spans="1:8" ht="32.1" customHeight="1" thickBot="1" x14ac:dyDescent="0.3">
      <c r="A5" s="298"/>
      <c r="B5" s="298"/>
      <c r="C5" s="298"/>
      <c r="D5" s="311">
        <f>SUM(D10:D15)</f>
        <v>0</v>
      </c>
      <c r="E5" s="305">
        <f>SUM(E10:E15)</f>
        <v>0</v>
      </c>
      <c r="F5" s="306">
        <f>SUM(F10:F15)</f>
        <v>0</v>
      </c>
      <c r="G5" s="307">
        <f>SUM(G10:G15)</f>
        <v>0</v>
      </c>
      <c r="H5" s="312">
        <f>SUM(H10:H15)</f>
        <v>0</v>
      </c>
    </row>
    <row r="6" spans="1:8" ht="12" customHeight="1" x14ac:dyDescent="0.25">
      <c r="A6" s="298"/>
      <c r="B6" s="298"/>
      <c r="C6" s="298"/>
      <c r="D6" s="298" t="s">
        <v>873</v>
      </c>
      <c r="E6" s="298"/>
      <c r="F6" s="298"/>
      <c r="G6" s="298"/>
      <c r="H6" s="298"/>
    </row>
    <row r="7" spans="1:8" ht="18" customHeight="1" x14ac:dyDescent="0.25">
      <c r="A7" s="298"/>
      <c r="B7" s="298"/>
      <c r="C7" s="298"/>
      <c r="D7" s="420"/>
      <c r="E7" s="420"/>
      <c r="F7" s="420"/>
      <c r="G7" s="420"/>
      <c r="H7" s="420"/>
    </row>
    <row r="8" spans="1:8" ht="12" customHeight="1" thickBot="1" x14ac:dyDescent="0.3">
      <c r="A8" s="298"/>
      <c r="B8" s="298"/>
      <c r="C8" s="298"/>
      <c r="D8" s="298"/>
      <c r="E8" s="298"/>
      <c r="F8" s="298"/>
      <c r="G8" s="298"/>
      <c r="H8" s="298"/>
    </row>
    <row r="9" spans="1:8" ht="35.1" customHeight="1" thickBot="1" x14ac:dyDescent="0.3">
      <c r="A9" s="298"/>
      <c r="B9" s="298"/>
      <c r="C9" s="316" t="s">
        <v>38</v>
      </c>
      <c r="D9" s="317" t="s">
        <v>879</v>
      </c>
      <c r="E9" s="318" t="s">
        <v>880</v>
      </c>
      <c r="F9" s="319" t="s">
        <v>709</v>
      </c>
      <c r="G9" s="319" t="s">
        <v>71</v>
      </c>
      <c r="H9" s="320" t="s">
        <v>778</v>
      </c>
    </row>
    <row r="10" spans="1:8" ht="35.1" customHeight="1" x14ac:dyDescent="0.25">
      <c r="A10" s="298"/>
      <c r="B10" s="313" t="s">
        <v>882</v>
      </c>
      <c r="C10" s="324">
        <f>'Equipment Lookups'!AH5</f>
        <v>25</v>
      </c>
      <c r="D10" s="325">
        <f>IFERROR(SUMIF(Inventory!$BS$8:$BS$32,'Equipment Lookups'!$J5,Inventory!$AF$8:$AF$32),0)</f>
        <v>0</v>
      </c>
      <c r="E10" s="326">
        <f>IFERROR(SUMIFS(Inventory!AN$8:AN$32,Inventory!$BS$8:$BS$32,'Equipment Lookups'!$J5,Inventory!AN$8:AN$32,"&lt;&gt;Check*"),0)</f>
        <v>0</v>
      </c>
      <c r="F10" s="326">
        <f>IFERROR(SUMIFS(Inventory!AO$8:AO$32,Inventory!$BS$8:$BS$32,'Equipment Lookups'!$J5,Inventory!AO$8:AO$32,"&lt;&gt;Check*"),0)</f>
        <v>0</v>
      </c>
      <c r="G10" s="334">
        <f>IFERROR(SUMIFS(Inventory!AP$8:AP$32,Inventory!$BS$8:$BS$32,'Equipment Lookups'!$J5,Inventory!AP$8:AP$32,"&lt;&gt;Check*"),0)</f>
        <v>0</v>
      </c>
      <c r="H10" s="327">
        <f>IFERROR(SUMIF(Inventory!$BS$8:$BS$32,'Equipment Lookups'!$J5,Inventory!$AQ$8:$AQ$32),0)</f>
        <v>0</v>
      </c>
    </row>
    <row r="11" spans="1:8" ht="35.1" customHeight="1" x14ac:dyDescent="0.25">
      <c r="A11" s="298"/>
      <c r="B11" s="314" t="s">
        <v>883</v>
      </c>
      <c r="C11" s="328">
        <f>'Equipment Lookups'!AH6</f>
        <v>20</v>
      </c>
      <c r="D11" s="321">
        <f>IFERROR(SUMIF(Inventory!$BS$8:$BS$32,'Equipment Lookups'!$J6,Inventory!$AF$8:$AF$32),0)</f>
        <v>0</v>
      </c>
      <c r="E11" s="322">
        <f>IFERROR(SUMIFS(Inventory!AN$8:AN$32,Inventory!$BS$8:$BS$32,'Equipment Lookups'!$J6,Inventory!AN$8:AN$32,"&lt;&gt;Check*"),0)</f>
        <v>0</v>
      </c>
      <c r="F11" s="322">
        <f>IFERROR(SUMIFS(Inventory!AO$8:AO$32,Inventory!$BS$8:$BS$32,'Equipment Lookups'!$J6,Inventory!AO$8:AO$32,"&lt;&gt;Check*"),0)</f>
        <v>0</v>
      </c>
      <c r="G11" s="323">
        <f>IFERROR(SUMIFS(Inventory!AP$8:AP$32,Inventory!$BS$8:$BS$32,'Equipment Lookups'!$J6,Inventory!AP$8:AP$32,"&lt;&gt;Check*"),0)</f>
        <v>0</v>
      </c>
      <c r="H11" s="329">
        <f>IFERROR(SUMIF(Inventory!$BS$8:$BS$32,'Equipment Lookups'!$J6,Inventory!$AQ$8:$AQ$32),0)</f>
        <v>0</v>
      </c>
    </row>
    <row r="12" spans="1:8" ht="35.1" customHeight="1" x14ac:dyDescent="0.25">
      <c r="A12" s="298"/>
      <c r="B12" s="314" t="s">
        <v>884</v>
      </c>
      <c r="C12" s="328">
        <f>'Equipment Lookups'!AH7</f>
        <v>25</v>
      </c>
      <c r="D12" s="321">
        <f>IFERROR(SUMIF(Inventory!$BS$8:$BS$32,'Equipment Lookups'!$J7,Inventory!$AF$8:$AF$32),0)</f>
        <v>0</v>
      </c>
      <c r="E12" s="322">
        <f>IFERROR(SUMIFS(Inventory!AN$8:AN$32,Inventory!$BS$8:$BS$32,'Equipment Lookups'!$J7,Inventory!AN$8:AN$32,"&lt;&gt;Check*"),0)</f>
        <v>0</v>
      </c>
      <c r="F12" s="322">
        <f>IFERROR(SUMIFS(Inventory!AO$8:AO$32,Inventory!$BS$8:$BS$32,'Equipment Lookups'!$J7,Inventory!AO$8:AO$32,"&lt;&gt;Check*"),0)</f>
        <v>0</v>
      </c>
      <c r="G12" s="323">
        <f>IFERROR(SUMIFS(Inventory!AP$8:AP$32,Inventory!$BS$8:$BS$32,'Equipment Lookups'!$J7,Inventory!AP$8:AP$32,"&lt;&gt;Check*"),0)</f>
        <v>0</v>
      </c>
      <c r="H12" s="329">
        <f>IFERROR(SUMIF(Inventory!$BS$8:$BS$32,'Equipment Lookups'!$J7,Inventory!$AQ$8:$AQ$32),0)</f>
        <v>0</v>
      </c>
    </row>
    <row r="13" spans="1:8" ht="35.1" customHeight="1" x14ac:dyDescent="0.25">
      <c r="A13" s="298"/>
      <c r="B13" s="314" t="s">
        <v>885</v>
      </c>
      <c r="C13" s="328">
        <f>'Equipment Lookups'!AH8</f>
        <v>20</v>
      </c>
      <c r="D13" s="321">
        <f>IFERROR(SUMIF(Inventory!$BS$8:$BS$32,'Equipment Lookups'!$J8,Inventory!$AF$8:$AF$32),0)</f>
        <v>0</v>
      </c>
      <c r="E13" s="322">
        <f>IFERROR(SUMIFS(Inventory!AN$8:AN$32,Inventory!$BS$8:$BS$32,'Equipment Lookups'!$J8,Inventory!AN$8:AN$32,"&lt;&gt;Check*"),0)</f>
        <v>0</v>
      </c>
      <c r="F13" s="322">
        <f>IFERROR(SUMIFS(Inventory!AO$8:AO$32,Inventory!$BS$8:$BS$32,'Equipment Lookups'!$J8,Inventory!AO$8:AO$32,"&lt;&gt;Check*"),0)</f>
        <v>0</v>
      </c>
      <c r="G13" s="323">
        <f>IFERROR(SUMIFS(Inventory!AP$8:AP$32,Inventory!$BS$8:$BS$32,'Equipment Lookups'!$J8,Inventory!AP$8:AP$32,"&lt;&gt;Check*"),0)</f>
        <v>0</v>
      </c>
      <c r="H13" s="329">
        <f>IFERROR(SUMIF(Inventory!$BS$8:$BS$32,'Equipment Lookups'!$J8,Inventory!$AQ$8:$AQ$32),0)</f>
        <v>0</v>
      </c>
    </row>
    <row r="14" spans="1:8" ht="35.1" customHeight="1" x14ac:dyDescent="0.25">
      <c r="A14" s="298"/>
      <c r="B14" s="314" t="s">
        <v>1489</v>
      </c>
      <c r="C14" s="328">
        <f>'Equipment Lookups'!AH9</f>
        <v>15</v>
      </c>
      <c r="D14" s="321">
        <f>IFERROR(SUMIFS(Inventory!AF8:AF32,Inventory!BU8:BU32,"DX"),0)</f>
        <v>0</v>
      </c>
      <c r="E14" s="322">
        <f>IFERROR(SUMIFS(Inventory!AN$8:AN$32,Inventory!$BU$8:$BU$32,"DX",Inventory!AN$8:AN$32,"&lt;&gt;Check*"),0)</f>
        <v>0</v>
      </c>
      <c r="F14" s="322">
        <f>IFERROR(SUMIFS(Inventory!AO$8:AO$32,Inventory!$BU$8:$BU$32,"DX",Inventory!AO$8:AO$32,"&lt;&gt;Check*"),0)</f>
        <v>0</v>
      </c>
      <c r="G14" s="323">
        <f>IFERROR(SUMIFS(Inventory!AP$8:AP$32,Inventory!$BU$8:$BU$32,"DX",Inventory!AP$8:AP$32,"&lt;&gt;Check*"),0)</f>
        <v>0</v>
      </c>
      <c r="H14" s="329">
        <f>IFERROR(SUMIFS(Inventory!AQ$8:AQ$32,Inventory!$BU$8:$BU$32,"DX",Inventory!AQ$8:AQ$32,"&lt;&gt;Check*"),0)</f>
        <v>0</v>
      </c>
    </row>
    <row r="15" spans="1:8" ht="35.1" customHeight="1" thickBot="1" x14ac:dyDescent="0.3">
      <c r="A15" s="298"/>
      <c r="B15" s="315" t="s">
        <v>886</v>
      </c>
      <c r="C15" s="330">
        <f>'Equipment Lookups'!AH15</f>
        <v>9</v>
      </c>
      <c r="D15" s="331">
        <f>IFERROR(SUMIFS(Inventory!AF8:AF32,Inventory!BU8:BU32,"PTRoom"),0)</f>
        <v>0</v>
      </c>
      <c r="E15" s="332">
        <f>IFERROR(SUMIFS(Inventory!AN$8:AN$32,Inventory!$BU$8:$BU$32,"PTRoom*",Inventory!AN$8:AN$32,"&lt;&gt;Check*"),0)</f>
        <v>0</v>
      </c>
      <c r="F15" s="332">
        <f>IFERROR(SUMIFS(Inventory!AO$8:AO$32,Inventory!$BU$8:$BU$32,"PTRoom",Inventory!AO$8:AO$32,"&lt;&gt;Check*"),0)</f>
        <v>0</v>
      </c>
      <c r="G15" s="333">
        <f>IFERROR(SUMIFS(Inventory!AP$8:AP$32,Inventory!$BU$8:$BU$32,"PTRoom",Inventory!AP$8:AP$32,"&lt;&gt;Check*"),0)</f>
        <v>0</v>
      </c>
      <c r="H15" s="312">
        <f>IFERROR(SUMIFS(Inventory!AQ$8:AQ$32,Inventory!$BU$8:$BU$32,"PTRoom",Inventory!AQ$8:AQ$32,"&lt;&gt;Check*"),0)</f>
        <v>0</v>
      </c>
    </row>
    <row r="16" spans="1:8" x14ac:dyDescent="0.25">
      <c r="A16" s="298"/>
      <c r="B16" s="298"/>
      <c r="C16" s="298"/>
      <c r="D16" s="298"/>
      <c r="E16" s="298"/>
      <c r="F16" s="298"/>
      <c r="G16" s="298"/>
      <c r="H16" s="298"/>
    </row>
    <row r="17" spans="1:8" x14ac:dyDescent="0.25">
      <c r="A17" s="298"/>
      <c r="B17" s="298"/>
      <c r="C17" s="298"/>
      <c r="D17" s="298"/>
      <c r="E17" s="298"/>
      <c r="F17" s="298"/>
      <c r="G17" s="298"/>
      <c r="H17" s="298"/>
    </row>
    <row r="18" spans="1:8" ht="18" x14ac:dyDescent="0.25">
      <c r="A18" s="298"/>
      <c r="B18" s="308" t="s">
        <v>881</v>
      </c>
      <c r="C18" s="309" t="str">
        <f>'Project Info'!K1</f>
        <v>v26.1</v>
      </c>
      <c r="D18" s="298"/>
      <c r="E18" s="298"/>
      <c r="F18" s="298"/>
      <c r="G18" s="298"/>
      <c r="H18" s="298"/>
    </row>
  </sheetData>
  <sheetProtection algorithmName="SHA-512" hashValue="2oGEgd6Z21Zio0f9hPwnakZgmTDAVmlhj0l8VSYeLvoz2NJXYsTt76ly24shxcJaQIiZ2pBlCEwrCcH3RjekJw==" saltValue="nUrz0cnVQwm3dOoVTdZakw==" spinCount="100000" sheet="1" objects="1" scenarios="1"/>
  <mergeCells count="1">
    <mergeCell ref="C2:G2"/>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tabColor theme="7" tint="-0.499984740745262"/>
  </sheetPr>
  <dimension ref="A1:O126"/>
  <sheetViews>
    <sheetView view="pageBreakPreview" zoomScale="70" zoomScaleNormal="80" zoomScaleSheetLayoutView="70" workbookViewId="0">
      <selection activeCell="B126" sqref="B126:F126"/>
    </sheetView>
  </sheetViews>
  <sheetFormatPr defaultColWidth="9.140625" defaultRowHeight="15" customHeight="1" x14ac:dyDescent="0.25"/>
  <cols>
    <col min="1" max="1" width="2.140625" style="155" customWidth="1"/>
    <col min="2" max="2" width="40.42578125" style="155" customWidth="1"/>
    <col min="3" max="3" width="15.85546875" style="155" customWidth="1"/>
    <col min="4" max="4" width="2.140625" style="155" customWidth="1"/>
    <col min="5" max="5" width="41" style="155" customWidth="1"/>
    <col min="6" max="6" width="15.85546875" style="155" customWidth="1"/>
    <col min="7" max="7" width="2.140625" style="155" customWidth="1"/>
    <col min="8" max="13" width="15.85546875" style="155" customWidth="1"/>
    <col min="14" max="16384" width="9.140625" style="155"/>
  </cols>
  <sheetData>
    <row r="1" spans="1:6" ht="75" customHeight="1" x14ac:dyDescent="0.25">
      <c r="A1" s="445">
        <v>1</v>
      </c>
    </row>
    <row r="2" spans="1:6" ht="50.1" customHeight="1" x14ac:dyDescent="0.25">
      <c r="B2" s="863" t="s">
        <v>195</v>
      </c>
      <c r="C2" s="863"/>
      <c r="D2" s="863"/>
      <c r="E2" s="863"/>
      <c r="F2" s="863"/>
    </row>
    <row r="3" spans="1:6" ht="24.95" customHeight="1" x14ac:dyDescent="0.25">
      <c r="B3" s="864" t="str">
        <f>'Project Info'!I7&amp;" - "&amp;'Project Info'!I8</f>
        <v xml:space="preserve"> - </v>
      </c>
      <c r="C3" s="864"/>
      <c r="D3" s="864"/>
      <c r="E3" s="864"/>
      <c r="F3" s="864"/>
    </row>
    <row r="4" spans="1:6" ht="39.75" customHeight="1" x14ac:dyDescent="0.2">
      <c r="F4" s="156"/>
    </row>
    <row r="5" spans="1:6" ht="39.950000000000003" customHeight="1" x14ac:dyDescent="0.25">
      <c r="B5" s="865" t="str">
        <f>IF('Project Info'!$D$4="","Prepared for: [Company Name]",CONCATENATE("Prepared for: ",'Project Info'!$D$4))</f>
        <v>Prepared for: [Company Name]</v>
      </c>
      <c r="C5" s="865"/>
      <c r="D5" s="865"/>
      <c r="E5" s="865"/>
      <c r="F5" s="865"/>
    </row>
    <row r="6" spans="1:6" ht="20.100000000000001" customHeight="1" x14ac:dyDescent="0.25">
      <c r="B6" s="866" t="str">
        <f>IF('Project Info'!$D$10="","Contact Name:",CONCATENATE("Contact Name: ",'Project Info'!$D$10))</f>
        <v>Contact Name:</v>
      </c>
      <c r="C6" s="866"/>
      <c r="D6" s="866"/>
      <c r="E6" s="866"/>
      <c r="F6" s="866"/>
    </row>
    <row r="7" spans="1:6" ht="20.100000000000001" customHeight="1" x14ac:dyDescent="0.25">
      <c r="B7" s="866" t="str">
        <f>IF('Project Info'!$D$11="","Contact Phone:",CONCATENATE("Contact Phone: ",'Project Info'!$D$11))</f>
        <v>Contact Phone:</v>
      </c>
      <c r="C7" s="866"/>
      <c r="D7" s="866"/>
      <c r="E7" s="866"/>
      <c r="F7" s="866"/>
    </row>
    <row r="8" spans="1:6" ht="20.100000000000001" customHeight="1" x14ac:dyDescent="0.25">
      <c r="B8" s="866" t="str">
        <f>IF('Project Info'!$I$11="","Contact Email:",CONCATENATE("Contact Email: ",'Project Info'!$I$11))</f>
        <v>Contact Email:</v>
      </c>
      <c r="C8" s="866"/>
      <c r="D8" s="866"/>
      <c r="E8" s="866"/>
      <c r="F8" s="866"/>
    </row>
    <row r="9" spans="1:6" ht="39" customHeight="1" x14ac:dyDescent="0.25"/>
    <row r="10" spans="1:6" ht="30" customHeight="1" x14ac:dyDescent="0.25">
      <c r="B10" s="157" t="s">
        <v>196</v>
      </c>
      <c r="C10" s="158">
        <f>'Project Info'!$D$17</f>
        <v>0</v>
      </c>
      <c r="D10" s="159"/>
      <c r="E10" s="157" t="s">
        <v>197</v>
      </c>
      <c r="F10" s="158">
        <f>($B$26*$F$36)+($B$27*$F$37)</f>
        <v>0</v>
      </c>
    </row>
    <row r="11" spans="1:6" ht="29.25" customHeight="1" x14ac:dyDescent="0.25">
      <c r="B11" s="160" t="s">
        <v>404</v>
      </c>
      <c r="C11" s="218">
        <f>IFERROR(Inventory!AR3/Inventory!AP3,0)</f>
        <v>0</v>
      </c>
      <c r="D11" s="161"/>
      <c r="E11" s="157" t="s">
        <v>199</v>
      </c>
      <c r="F11" s="204">
        <f>MAX(0,IF(ISERROR($C$38/$F$38),0,$C$38/$F$38))</f>
        <v>0</v>
      </c>
    </row>
    <row r="12" spans="1:6" ht="30" customHeight="1" x14ac:dyDescent="0.25">
      <c r="B12" s="160" t="s">
        <v>406</v>
      </c>
      <c r="C12" s="158">
        <f>Inventory!$AQ$3</f>
        <v>0</v>
      </c>
      <c r="D12" s="161"/>
      <c r="E12" s="157" t="s">
        <v>251</v>
      </c>
      <c r="F12" s="205">
        <f>SUM(Inventory!AF8:AF32)</f>
        <v>0</v>
      </c>
    </row>
    <row r="13" spans="1:6" ht="30" customHeight="1" x14ac:dyDescent="0.25">
      <c r="B13" s="217" t="e">
        <f>IF('Utility Admin'!$G$2&lt;&gt;999999,"*Incentive may be capped at $"&amp;'Utility Admin'!$G$2&amp;" per project or "&amp;'Utility Admin'!$H$2*100&amp;"% of project cost","*Incentive may be capped at "&amp;'Utility Admin'!$H$2*100&amp;"% of project cost")</f>
        <v>#N/A</v>
      </c>
      <c r="D13" s="161"/>
    </row>
    <row r="14" spans="1:6" ht="20.100000000000001" customHeight="1" x14ac:dyDescent="0.25">
      <c r="B14" s="867" t="s">
        <v>200</v>
      </c>
      <c r="C14" s="867"/>
      <c r="D14" s="867"/>
      <c r="E14" s="867"/>
      <c r="F14" s="867"/>
    </row>
    <row r="15" spans="1:6" ht="20.100000000000001" customHeight="1" thickBot="1" x14ac:dyDescent="0.3">
      <c r="B15" s="867"/>
      <c r="C15" s="867"/>
      <c r="D15" s="867"/>
      <c r="E15" s="867"/>
      <c r="F15" s="867"/>
    </row>
    <row r="16" spans="1:6" ht="21.95" customHeight="1" x14ac:dyDescent="0.25">
      <c r="B16" s="868" t="s">
        <v>201</v>
      </c>
      <c r="C16" s="869"/>
      <c r="D16" s="873" t="str">
        <f>IF('Project Info'!D16="","",'Project Info'!D16)</f>
        <v/>
      </c>
      <c r="E16" s="874"/>
      <c r="F16" s="875"/>
    </row>
    <row r="17" spans="2:6" ht="21.95" customHeight="1" thickBot="1" x14ac:dyDescent="0.3">
      <c r="B17" s="870"/>
      <c r="C17" s="871"/>
      <c r="D17" s="876"/>
      <c r="E17" s="877"/>
      <c r="F17" s="878"/>
    </row>
    <row r="18" spans="2:6" ht="58.5" customHeight="1" x14ac:dyDescent="0.25">
      <c r="B18" s="872"/>
      <c r="C18" s="872"/>
      <c r="D18" s="162"/>
      <c r="E18" s="163"/>
      <c r="F18" s="163"/>
    </row>
    <row r="19" spans="2:6" ht="15.75" customHeight="1" x14ac:dyDescent="0.25">
      <c r="B19" s="862" t="s">
        <v>202</v>
      </c>
      <c r="C19" s="862"/>
      <c r="D19" s="161"/>
      <c r="E19" s="164" t="s">
        <v>203</v>
      </c>
      <c r="F19" s="164" t="s">
        <v>204</v>
      </c>
    </row>
    <row r="20" spans="2:6" ht="27.75" customHeight="1" x14ac:dyDescent="0.25">
      <c r="B20" s="165"/>
      <c r="C20" s="165"/>
      <c r="D20" s="161"/>
      <c r="E20" s="161"/>
      <c r="F20" s="161"/>
    </row>
    <row r="21" spans="2:6" ht="71.25" customHeight="1" x14ac:dyDescent="0.25">
      <c r="B21" s="879" t="s">
        <v>252</v>
      </c>
      <c r="C21" s="879"/>
      <c r="D21" s="879"/>
      <c r="E21" s="879"/>
      <c r="F21" s="879"/>
    </row>
    <row r="22" spans="2:6" ht="49.35" customHeight="1" x14ac:dyDescent="0.25">
      <c r="B22" s="166"/>
      <c r="C22" s="166"/>
      <c r="D22" s="166"/>
      <c r="E22" s="166"/>
      <c r="F22" s="166"/>
    </row>
    <row r="23" spans="2:6" ht="20.100000000000001" customHeight="1" x14ac:dyDescent="0.25">
      <c r="B23" s="880">
        <f ca="1">TODAY()</f>
        <v>46174</v>
      </c>
      <c r="C23" s="880"/>
      <c r="D23" s="880"/>
      <c r="E23" s="880"/>
      <c r="F23" s="880"/>
    </row>
    <row r="24" spans="2:6" ht="24.95" customHeight="1" x14ac:dyDescent="0.25"/>
    <row r="25" spans="2:6" s="168" customFormat="1" ht="20.100000000000001" customHeight="1" x14ac:dyDescent="0.25">
      <c r="B25" s="167" t="s">
        <v>205</v>
      </c>
    </row>
    <row r="26" spans="2:6" ht="24.95" customHeight="1" x14ac:dyDescent="0.25">
      <c r="B26" s="169">
        <f>'Project Info'!J17</f>
        <v>0</v>
      </c>
      <c r="C26" s="170" t="s">
        <v>191</v>
      </c>
    </row>
    <row r="27" spans="2:6" ht="24.95" customHeight="1" x14ac:dyDescent="0.25">
      <c r="B27" s="169">
        <f>'Project Info'!$I$17</f>
        <v>0.1</v>
      </c>
      <c r="C27" s="170" t="s">
        <v>190</v>
      </c>
    </row>
    <row r="29" spans="2:6" s="168" customFormat="1" ht="20.100000000000001" customHeight="1" x14ac:dyDescent="0.25">
      <c r="B29" s="167" t="s">
        <v>206</v>
      </c>
      <c r="E29" s="155"/>
    </row>
    <row r="30" spans="2:6" ht="24.95" customHeight="1" x14ac:dyDescent="0.25">
      <c r="B30" s="881" t="str">
        <f>IF(Inventory!C8="","",Inventory!C8)</f>
        <v/>
      </c>
      <c r="C30" s="881"/>
    </row>
    <row r="32" spans="2:6" s="168" customFormat="1" ht="20.100000000000001" customHeight="1" x14ac:dyDescent="0.25">
      <c r="B32" s="167" t="s">
        <v>207</v>
      </c>
    </row>
    <row r="33" spans="2:15" ht="75" customHeight="1" x14ac:dyDescent="0.25">
      <c r="B33" s="882" t="str">
        <f>IF('Project Info'!D19="","",'Project Info'!D19)</f>
        <v/>
      </c>
      <c r="C33" s="883"/>
      <c r="D33" s="883"/>
      <c r="E33" s="883"/>
      <c r="F33" s="884"/>
    </row>
    <row r="35" spans="2:15" ht="24.95" customHeight="1" x14ac:dyDescent="0.25">
      <c r="B35" s="885" t="s">
        <v>208</v>
      </c>
      <c r="C35" s="885"/>
      <c r="E35" s="885" t="s">
        <v>209</v>
      </c>
      <c r="F35" s="885"/>
    </row>
    <row r="36" spans="2:15" ht="20.100000000000001" customHeight="1" x14ac:dyDescent="0.25">
      <c r="B36" s="157" t="s">
        <v>196</v>
      </c>
      <c r="C36" s="171">
        <f>'Project Info'!$D$17</f>
        <v>0</v>
      </c>
      <c r="E36" s="157" t="s">
        <v>210</v>
      </c>
      <c r="F36" s="201">
        <f>Inventory!$AO$3</f>
        <v>0</v>
      </c>
    </row>
    <row r="37" spans="2:15" ht="20.100000000000001" customHeight="1" x14ac:dyDescent="0.25">
      <c r="B37" s="157" t="s">
        <v>198</v>
      </c>
      <c r="C37" s="171">
        <f>Inventory!$AQ$3</f>
        <v>0</v>
      </c>
      <c r="E37" s="157" t="s">
        <v>211</v>
      </c>
      <c r="F37" s="202">
        <f>Inventory!$AP$3</f>
        <v>0</v>
      </c>
    </row>
    <row r="38" spans="2:15" ht="20.100000000000001" customHeight="1" x14ac:dyDescent="0.25">
      <c r="B38" s="157" t="s">
        <v>212</v>
      </c>
      <c r="C38" s="171">
        <f>$C$36-$C$37</f>
        <v>0</v>
      </c>
      <c r="E38" s="157" t="s">
        <v>197</v>
      </c>
      <c r="F38" s="171">
        <f>($B$26*$F$36)+($B$27*$F$37)</f>
        <v>0</v>
      </c>
    </row>
    <row r="40" spans="2:15" ht="24.95" customHeight="1" thickBot="1" x14ac:dyDescent="0.3">
      <c r="B40" s="885" t="s">
        <v>213</v>
      </c>
      <c r="C40" s="885"/>
      <c r="E40" s="886" t="s">
        <v>214</v>
      </c>
      <c r="F40" s="886"/>
    </row>
    <row r="41" spans="2:15" ht="20.100000000000001" customHeight="1" x14ac:dyDescent="0.25">
      <c r="B41" s="157" t="s">
        <v>199</v>
      </c>
      <c r="C41" s="201">
        <f>MAX(0,IF(ISERROR($C$38/$F$38),0,$C$38/$F$38))</f>
        <v>0</v>
      </c>
      <c r="E41" s="172" t="s">
        <v>215</v>
      </c>
      <c r="F41" s="173">
        <f>$F$42/12</f>
        <v>0</v>
      </c>
    </row>
    <row r="42" spans="2:15" ht="20.100000000000001" customHeight="1" x14ac:dyDescent="0.25">
      <c r="B42" s="157" t="s">
        <v>216</v>
      </c>
      <c r="C42" s="203">
        <f>IF(ISERROR(1/$C$41),0,1/$C$41)</f>
        <v>0</v>
      </c>
      <c r="E42" s="157" t="s">
        <v>217</v>
      </c>
      <c r="F42" s="174">
        <f>$F$38</f>
        <v>0</v>
      </c>
      <c r="H42" s="175"/>
      <c r="I42" s="175"/>
      <c r="J42" s="175"/>
      <c r="K42" s="175"/>
      <c r="L42" s="175"/>
      <c r="M42" s="175"/>
      <c r="N42" s="175"/>
      <c r="O42" s="175"/>
    </row>
    <row r="43" spans="2:15" ht="15" customHeight="1" x14ac:dyDescent="0.25">
      <c r="H43" s="175"/>
      <c r="I43" s="175"/>
      <c r="J43" s="175"/>
      <c r="K43" s="175"/>
      <c r="L43" s="175"/>
      <c r="M43" s="175"/>
      <c r="N43" s="175"/>
      <c r="O43" s="175"/>
    </row>
    <row r="44" spans="2:15" ht="54.95" customHeight="1" x14ac:dyDescent="0.25">
      <c r="B44" s="879" t="s">
        <v>253</v>
      </c>
      <c r="C44" s="879"/>
      <c r="D44" s="879"/>
      <c r="E44" s="879"/>
      <c r="F44" s="879"/>
      <c r="H44" s="175"/>
      <c r="I44" s="175"/>
      <c r="J44" s="175"/>
      <c r="K44" s="175"/>
      <c r="L44" s="175"/>
      <c r="M44" s="175"/>
      <c r="N44" s="175"/>
      <c r="O44" s="175"/>
    </row>
    <row r="45" spans="2:15" ht="15" customHeight="1" x14ac:dyDescent="0.25">
      <c r="H45" s="175"/>
      <c r="I45" s="175"/>
      <c r="J45" s="175"/>
      <c r="K45" s="175"/>
      <c r="L45" s="175"/>
      <c r="M45" s="175"/>
      <c r="N45" s="175"/>
      <c r="O45" s="175"/>
    </row>
    <row r="46" spans="2:15" ht="15" customHeight="1" x14ac:dyDescent="0.25">
      <c r="H46" s="175"/>
      <c r="I46" s="175"/>
      <c r="J46" s="175"/>
      <c r="K46" s="175"/>
      <c r="L46" s="175"/>
      <c r="M46" s="175"/>
      <c r="N46" s="175"/>
      <c r="O46" s="175"/>
    </row>
    <row r="47" spans="2:15" ht="15" customHeight="1" x14ac:dyDescent="0.25">
      <c r="H47" s="887" t="s">
        <v>218</v>
      </c>
      <c r="I47" s="887"/>
      <c r="J47" s="887" t="s">
        <v>219</v>
      </c>
      <c r="K47" s="887"/>
      <c r="L47" s="176" t="s">
        <v>218</v>
      </c>
      <c r="M47" s="177">
        <f ca="1">($H$49*$B$26)+($I$49*$B$27)</f>
        <v>0</v>
      </c>
      <c r="N47" s="175"/>
      <c r="O47" s="175"/>
    </row>
    <row r="48" spans="2:15" ht="15" customHeight="1" x14ac:dyDescent="0.25">
      <c r="H48" s="178" t="s">
        <v>70</v>
      </c>
      <c r="I48" s="178" t="s">
        <v>71</v>
      </c>
      <c r="J48" s="178" t="s">
        <v>70</v>
      </c>
      <c r="K48" s="178" t="s">
        <v>71</v>
      </c>
      <c r="L48" s="176" t="s">
        <v>220</v>
      </c>
      <c r="M48" s="177">
        <f ca="1">($J$49*$B$26)+($K$49*$B$27)</f>
        <v>0</v>
      </c>
      <c r="N48" s="175"/>
      <c r="O48" s="175"/>
    </row>
    <row r="49" spans="8:15" ht="15" customHeight="1" x14ac:dyDescent="0.25">
      <c r="H49" s="179">
        <f ca="1">IFERROR(SUM(Inventory!EC8:EC32),0)</f>
        <v>0</v>
      </c>
      <c r="I49" s="180">
        <f ca="1">IFERROR(SUM(Inventory!EB8:EB32),0)</f>
        <v>0</v>
      </c>
      <c r="J49" s="179">
        <f ca="1">$H$49-$F$36</f>
        <v>0</v>
      </c>
      <c r="K49" s="180">
        <f ca="1">$I$49-$F$37</f>
        <v>0</v>
      </c>
      <c r="L49" s="176" t="s">
        <v>214</v>
      </c>
      <c r="M49" s="177">
        <f ca="1">$M$47-$M$48</f>
        <v>0</v>
      </c>
      <c r="N49" s="175"/>
      <c r="O49" s="175"/>
    </row>
    <row r="50" spans="8:15" ht="15" customHeight="1" x14ac:dyDescent="0.25">
      <c r="H50" s="175"/>
      <c r="I50" s="175"/>
      <c r="J50" s="175"/>
      <c r="K50" s="175"/>
      <c r="L50" s="181"/>
      <c r="M50" s="181"/>
      <c r="N50" s="175"/>
      <c r="O50" s="175"/>
    </row>
    <row r="51" spans="8:15" ht="15" customHeight="1" x14ac:dyDescent="0.25">
      <c r="H51" s="175"/>
      <c r="I51" s="175"/>
      <c r="J51" s="175"/>
      <c r="K51" s="175"/>
      <c r="L51" s="178" t="s">
        <v>221</v>
      </c>
      <c r="M51" s="178" t="s">
        <v>222</v>
      </c>
      <c r="N51" s="175"/>
      <c r="O51" s="175"/>
    </row>
    <row r="52" spans="8:15" ht="15" customHeight="1" x14ac:dyDescent="0.25">
      <c r="H52" s="175"/>
      <c r="I52" s="175"/>
      <c r="J52" s="175"/>
      <c r="K52" s="175"/>
      <c r="L52" s="182" t="s">
        <v>223</v>
      </c>
      <c r="M52" s="177">
        <f ca="1">$M$49</f>
        <v>0</v>
      </c>
      <c r="N52" s="175"/>
      <c r="O52" s="175"/>
    </row>
    <row r="53" spans="8:15" ht="15" customHeight="1" x14ac:dyDescent="0.25">
      <c r="H53" s="175"/>
      <c r="I53" s="175"/>
      <c r="J53" s="175"/>
      <c r="K53" s="175"/>
      <c r="L53" s="182" t="s">
        <v>224</v>
      </c>
      <c r="M53" s="177">
        <f ca="1">$M$48</f>
        <v>0</v>
      </c>
      <c r="N53" s="175"/>
      <c r="O53" s="175"/>
    </row>
    <row r="54" spans="8:15" ht="15" customHeight="1" x14ac:dyDescent="0.25">
      <c r="H54" s="175"/>
      <c r="I54" s="175"/>
      <c r="J54" s="175"/>
      <c r="K54" s="175"/>
      <c r="L54" s="182" t="s">
        <v>225</v>
      </c>
      <c r="M54" s="177">
        <f ca="1">$M$47</f>
        <v>0</v>
      </c>
      <c r="N54" s="175"/>
      <c r="O54" s="175"/>
    </row>
    <row r="55" spans="8:15" ht="15" customHeight="1" x14ac:dyDescent="0.25">
      <c r="H55" s="175"/>
      <c r="I55" s="175"/>
      <c r="J55" s="175"/>
      <c r="K55" s="175"/>
      <c r="L55" s="175"/>
      <c r="M55" s="175"/>
      <c r="N55" s="175"/>
      <c r="O55" s="175"/>
    </row>
    <row r="56" spans="8:15" ht="15" customHeight="1" x14ac:dyDescent="0.25">
      <c r="H56" s="175"/>
      <c r="I56" s="175"/>
      <c r="J56" s="175"/>
      <c r="K56" s="175"/>
      <c r="L56" s="175"/>
      <c r="M56" s="175"/>
      <c r="N56" s="175"/>
      <c r="O56" s="175"/>
    </row>
    <row r="57" spans="8:15" ht="15" customHeight="1" x14ac:dyDescent="0.25">
      <c r="H57" s="175"/>
      <c r="I57" s="175"/>
      <c r="J57" s="175"/>
      <c r="K57" s="175"/>
      <c r="L57" s="175"/>
      <c r="M57" s="175"/>
      <c r="N57" s="175"/>
      <c r="O57" s="175"/>
    </row>
    <row r="58" spans="8:15" ht="15" customHeight="1" x14ac:dyDescent="0.25">
      <c r="H58" s="175"/>
      <c r="I58" s="175"/>
      <c r="J58" s="175"/>
      <c r="K58" s="175"/>
      <c r="L58" s="175"/>
      <c r="M58" s="175"/>
      <c r="N58" s="175"/>
      <c r="O58" s="175"/>
    </row>
    <row r="59" spans="8:15" ht="15" customHeight="1" x14ac:dyDescent="0.25">
      <c r="H59" s="175"/>
      <c r="I59" s="175"/>
      <c r="J59" s="175"/>
      <c r="K59" s="175"/>
      <c r="L59" s="175"/>
      <c r="M59" s="175"/>
      <c r="N59" s="175"/>
      <c r="O59" s="175"/>
    </row>
    <row r="60" spans="8:15" ht="15" customHeight="1" x14ac:dyDescent="0.25">
      <c r="H60" s="175"/>
      <c r="I60" s="175"/>
      <c r="J60" s="175"/>
      <c r="K60" s="175"/>
      <c r="L60" s="175"/>
      <c r="M60" s="175"/>
      <c r="N60" s="175"/>
      <c r="O60" s="175"/>
    </row>
    <row r="61" spans="8:15" ht="15" customHeight="1" x14ac:dyDescent="0.25">
      <c r="H61" s="175"/>
      <c r="I61" s="175"/>
      <c r="J61" s="175"/>
      <c r="K61" s="175"/>
      <c r="L61" s="175"/>
      <c r="M61" s="175"/>
      <c r="N61" s="175"/>
      <c r="O61" s="175"/>
    </row>
    <row r="71" spans="2:10" ht="20.100000000000001" customHeight="1" x14ac:dyDescent="0.25"/>
    <row r="72" spans="2:10" ht="20.100000000000001" customHeight="1" x14ac:dyDescent="0.25">
      <c r="B72" s="197"/>
      <c r="C72" s="198" t="s">
        <v>226</v>
      </c>
      <c r="D72" s="199"/>
      <c r="E72" s="199"/>
      <c r="F72" s="200" t="s">
        <v>226</v>
      </c>
    </row>
    <row r="73" spans="2:10" ht="20.100000000000001" customHeight="1" x14ac:dyDescent="0.25">
      <c r="B73" s="184" t="s">
        <v>227</v>
      </c>
      <c r="C73" s="185">
        <f>$F$36</f>
        <v>0</v>
      </c>
      <c r="D73" s="183"/>
      <c r="E73" s="184" t="s">
        <v>228</v>
      </c>
      <c r="F73" s="186">
        <f>$J$79</f>
        <v>0</v>
      </c>
    </row>
    <row r="74" spans="2:10" ht="20.100000000000001" customHeight="1" x14ac:dyDescent="0.25">
      <c r="B74" s="184" t="s">
        <v>229</v>
      </c>
      <c r="C74" s="187">
        <f>$F$37</f>
        <v>0</v>
      </c>
      <c r="D74" s="183"/>
      <c r="E74" s="184" t="s">
        <v>230</v>
      </c>
      <c r="F74" s="186">
        <f>$J$80</f>
        <v>0</v>
      </c>
    </row>
    <row r="75" spans="2:10" ht="20.100000000000001" customHeight="1" x14ac:dyDescent="0.25">
      <c r="B75" s="184" t="s">
        <v>231</v>
      </c>
      <c r="C75" s="171">
        <f>$F$38</f>
        <v>0</v>
      </c>
      <c r="D75" s="183"/>
      <c r="E75" s="184" t="s">
        <v>232</v>
      </c>
      <c r="F75" s="186">
        <f>$J$81</f>
        <v>0</v>
      </c>
    </row>
    <row r="76" spans="2:10" ht="20.100000000000001" customHeight="1" x14ac:dyDescent="0.25">
      <c r="B76" s="184" t="s">
        <v>233</v>
      </c>
      <c r="C76" s="171">
        <f>$C$36</f>
        <v>0</v>
      </c>
      <c r="D76" s="183"/>
      <c r="E76" s="184" t="s">
        <v>234</v>
      </c>
      <c r="F76" s="186">
        <f>$J$82</f>
        <v>0</v>
      </c>
    </row>
    <row r="77" spans="2:10" ht="20.100000000000001" customHeight="1" x14ac:dyDescent="0.25">
      <c r="B77" s="184" t="s">
        <v>235</v>
      </c>
      <c r="C77" s="171">
        <f>$C$37</f>
        <v>0</v>
      </c>
      <c r="D77" s="188"/>
      <c r="E77" s="188"/>
      <c r="F77" s="189"/>
    </row>
    <row r="79" spans="2:10" ht="15" customHeight="1" x14ac:dyDescent="0.25">
      <c r="H79" s="176" t="s">
        <v>236</v>
      </c>
      <c r="I79" s="177">
        <f>$F$38</f>
        <v>0</v>
      </c>
      <c r="J79" s="177">
        <f>$I79-$C$38</f>
        <v>0</v>
      </c>
    </row>
    <row r="80" spans="2:10" ht="15" customHeight="1" x14ac:dyDescent="0.25">
      <c r="H80" s="176" t="s">
        <v>237</v>
      </c>
      <c r="I80" s="177">
        <f>$I$79*5</f>
        <v>0</v>
      </c>
      <c r="J80" s="177">
        <f>$I80-$C$38</f>
        <v>0</v>
      </c>
    </row>
    <row r="81" spans="8:10" ht="15" customHeight="1" x14ac:dyDescent="0.25">
      <c r="H81" s="176" t="s">
        <v>238</v>
      </c>
      <c r="I81" s="177">
        <f>$I$79*10</f>
        <v>0</v>
      </c>
      <c r="J81" s="177">
        <f>$I81-$C$38</f>
        <v>0</v>
      </c>
    </row>
    <row r="82" spans="8:10" ht="15" customHeight="1" x14ac:dyDescent="0.25">
      <c r="H82" s="176" t="s">
        <v>239</v>
      </c>
      <c r="I82" s="177">
        <f>$I$79*15</f>
        <v>0</v>
      </c>
      <c r="J82" s="177">
        <f>$I82-$C$38</f>
        <v>0</v>
      </c>
    </row>
    <row r="105" spans="2:13" s="168" customFormat="1" ht="24.95" customHeight="1" x14ac:dyDescent="0.25">
      <c r="B105" s="888" t="s">
        <v>240</v>
      </c>
      <c r="C105" s="888"/>
      <c r="D105" s="888"/>
      <c r="E105" s="888"/>
      <c r="F105" s="888"/>
    </row>
    <row r="106" spans="2:13" ht="39.950000000000003" customHeight="1" x14ac:dyDescent="0.25">
      <c r="B106" s="867" t="s">
        <v>241</v>
      </c>
      <c r="C106" s="867"/>
      <c r="D106" s="867"/>
      <c r="E106" s="867"/>
      <c r="F106" s="867"/>
    </row>
    <row r="107" spans="2:13" ht="15" customHeight="1" x14ac:dyDescent="0.25">
      <c r="H107" s="889" t="s">
        <v>242</v>
      </c>
      <c r="I107" s="889"/>
      <c r="J107" s="889"/>
      <c r="K107" s="190" t="s">
        <v>71</v>
      </c>
      <c r="L107" s="190" t="s">
        <v>243</v>
      </c>
      <c r="M107" s="190" t="s">
        <v>244</v>
      </c>
    </row>
    <row r="108" spans="2:13" ht="15" customHeight="1" x14ac:dyDescent="0.25">
      <c r="H108" s="176" t="s">
        <v>245</v>
      </c>
      <c r="I108" s="176"/>
      <c r="J108" s="176"/>
      <c r="K108" s="191">
        <f>$F$37</f>
        <v>0</v>
      </c>
      <c r="L108" s="192">
        <f>$K108*0.00068956</f>
        <v>0</v>
      </c>
      <c r="M108" s="193">
        <f>$L108/1.22</f>
        <v>0</v>
      </c>
    </row>
    <row r="109" spans="2:13" ht="15" customHeight="1" x14ac:dyDescent="0.25">
      <c r="H109" s="176" t="s">
        <v>246</v>
      </c>
      <c r="I109" s="176"/>
      <c r="J109" s="176"/>
      <c r="K109" s="191">
        <f>$F$37</f>
        <v>0</v>
      </c>
      <c r="L109" s="192">
        <f>$K109*0.00068956</f>
        <v>0</v>
      </c>
      <c r="M109" s="193">
        <f>$L109/2.67</f>
        <v>0</v>
      </c>
    </row>
    <row r="110" spans="2:13" ht="15" customHeight="1" x14ac:dyDescent="0.25">
      <c r="H110" s="176" t="s">
        <v>247</v>
      </c>
      <c r="I110" s="176"/>
      <c r="J110" s="176"/>
      <c r="K110" s="191">
        <f>$F$37</f>
        <v>0</v>
      </c>
      <c r="L110" s="192">
        <f>$K110*0.00068956</f>
        <v>0</v>
      </c>
      <c r="M110" s="193">
        <f>$L110/4.8</f>
        <v>0</v>
      </c>
    </row>
    <row r="111" spans="2:13" ht="15" customHeight="1" x14ac:dyDescent="0.25">
      <c r="H111" s="176" t="s">
        <v>248</v>
      </c>
      <c r="I111" s="176"/>
      <c r="J111" s="176"/>
      <c r="K111" s="191">
        <f>$F$37</f>
        <v>0</v>
      </c>
      <c r="L111" s="192">
        <f>$K111*0.00068956</f>
        <v>0</v>
      </c>
      <c r="M111" s="193">
        <f>$L111/6.68</f>
        <v>0</v>
      </c>
    </row>
    <row r="112" spans="2:13" ht="15" customHeight="1" x14ac:dyDescent="0.25">
      <c r="H112" s="176" t="s">
        <v>249</v>
      </c>
      <c r="I112" s="176"/>
      <c r="J112" s="176"/>
      <c r="K112" s="191">
        <f>$F$37</f>
        <v>0</v>
      </c>
      <c r="L112" s="192">
        <f>$K112*0.00068956</f>
        <v>0</v>
      </c>
      <c r="M112" s="193">
        <f>$L112/75.82</f>
        <v>0</v>
      </c>
    </row>
    <row r="119" spans="2:13" ht="15" customHeight="1" x14ac:dyDescent="0.25">
      <c r="K119" s="194"/>
      <c r="L119" s="195"/>
      <c r="M119" s="196"/>
    </row>
    <row r="124" spans="2:13" s="168" customFormat="1" ht="30" customHeight="1" x14ac:dyDescent="0.25">
      <c r="B124" s="890" t="s">
        <v>250</v>
      </c>
      <c r="C124" s="890"/>
      <c r="D124" s="890"/>
      <c r="E124" s="890"/>
      <c r="F124" s="890"/>
    </row>
    <row r="126" spans="2:13" ht="399.95" customHeight="1" x14ac:dyDescent="0.25">
      <c r="B126" s="891"/>
      <c r="C126" s="891"/>
      <c r="D126" s="891"/>
      <c r="E126" s="891"/>
      <c r="F126" s="891"/>
    </row>
  </sheetData>
  <sheetProtection algorithmName="SHA-512" hashValue="/HvQGBDBljEfpsvXMLiSDTR9Ka8FX8yRXrbnG1jfFwvpzvqiyBxCFHOgI04KQhu2MXoPx3m+UJVoRYJdStpTRA==" saltValue="2lSMAJRpA3CgMuCRofJf6Q==" spinCount="100000" sheet="1" objects="1" scenarios="1" selectLockedCells="1"/>
  <mergeCells count="27">
    <mergeCell ref="B105:F105"/>
    <mergeCell ref="B106:F106"/>
    <mergeCell ref="H107:J107"/>
    <mergeCell ref="B124:F124"/>
    <mergeCell ref="B126:F126"/>
    <mergeCell ref="B40:C40"/>
    <mergeCell ref="E40:F40"/>
    <mergeCell ref="B44:F44"/>
    <mergeCell ref="H47:I47"/>
    <mergeCell ref="J47:K47"/>
    <mergeCell ref="B21:F21"/>
    <mergeCell ref="B23:F23"/>
    <mergeCell ref="B30:C30"/>
    <mergeCell ref="B33:F33"/>
    <mergeCell ref="B35:C35"/>
    <mergeCell ref="E35:F35"/>
    <mergeCell ref="B19:C19"/>
    <mergeCell ref="B2:F2"/>
    <mergeCell ref="B3:F3"/>
    <mergeCell ref="B5:F5"/>
    <mergeCell ref="B6:F6"/>
    <mergeCell ref="B7:F7"/>
    <mergeCell ref="B8:F8"/>
    <mergeCell ref="B14:F15"/>
    <mergeCell ref="B16:C17"/>
    <mergeCell ref="B18:C18"/>
    <mergeCell ref="D16:F17"/>
  </mergeCells>
  <pageMargins left="0.7" right="0.7" top="0.75" bottom="0.75" header="0.51180555555555596" footer="0.51180555555555596"/>
  <pageSetup scale="75" firstPageNumber="0" orientation="portrait" horizontalDpi="300" verticalDpi="300" r:id="rId1"/>
  <headerFooter alignWithMargins="0"/>
  <rowBreaks count="3" manualBreakCount="3">
    <brk id="24" max="16383" man="1"/>
    <brk id="70" max="16383" man="1"/>
    <brk id="123"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5">
    <tabColor rgb="FFFF0000"/>
    <pageSetUpPr fitToPage="1"/>
  </sheetPr>
  <dimension ref="A1:V46"/>
  <sheetViews>
    <sheetView topLeftCell="A4" workbookViewId="0">
      <selection activeCell="F12" sqref="F12"/>
    </sheetView>
  </sheetViews>
  <sheetFormatPr defaultColWidth="9.140625" defaultRowHeight="15" zeroHeight="1" x14ac:dyDescent="0.25"/>
  <cols>
    <col min="1" max="1" width="2.7109375" style="267" customWidth="1"/>
    <col min="2" max="2" width="2.7109375" style="253" customWidth="1"/>
    <col min="3" max="3" width="14.42578125" style="119" customWidth="1"/>
    <col min="4" max="4" width="16.140625" style="119" customWidth="1"/>
    <col min="5" max="6" width="21.140625" style="119" customWidth="1"/>
    <col min="7" max="7" width="12.5703125" style="119" customWidth="1"/>
    <col min="8" max="8" width="11.7109375" style="119" customWidth="1"/>
    <col min="9" max="9" width="20.7109375" style="119" customWidth="1"/>
    <col min="10" max="11" width="9.7109375" style="119" customWidth="1"/>
    <col min="12" max="14" width="20.7109375" style="119" customWidth="1"/>
    <col min="15" max="16" width="9.140625" style="119" customWidth="1"/>
    <col min="17" max="17" width="23.7109375" style="119" customWidth="1"/>
    <col min="18" max="18" width="10.7109375" style="119" customWidth="1"/>
    <col min="19" max="19" width="9.140625" style="119" customWidth="1"/>
    <col min="20" max="21" width="12.7109375" style="119" customWidth="1"/>
    <col min="22" max="22" width="2.7109375" style="267" customWidth="1"/>
    <col min="23" max="24" width="9.140625" style="268" customWidth="1"/>
    <col min="25" max="16384" width="9.140625" style="268"/>
  </cols>
  <sheetData>
    <row r="1" spans="1:22" ht="23.25" hidden="1" x14ac:dyDescent="0.25">
      <c r="A1" s="282">
        <v>1</v>
      </c>
      <c r="B1" s="252"/>
      <c r="C1" s="256" t="s">
        <v>864</v>
      </c>
      <c r="D1" s="253"/>
      <c r="E1" s="253"/>
      <c r="F1" s="253"/>
      <c r="G1" s="253"/>
      <c r="H1" s="253"/>
      <c r="I1" s="253"/>
      <c r="J1" s="253"/>
      <c r="K1" s="253"/>
      <c r="L1" s="335" t="s">
        <v>890</v>
      </c>
      <c r="M1" s="894" t="str">
        <f>IF('Project Info'!D4="","",'Project Info'!D4)</f>
        <v/>
      </c>
      <c r="N1" s="895"/>
      <c r="O1" s="253"/>
      <c r="P1" s="253"/>
      <c r="Q1" s="253"/>
      <c r="R1" s="253"/>
      <c r="S1" s="336" t="s">
        <v>865</v>
      </c>
      <c r="T1" s="253"/>
      <c r="U1" s="253"/>
    </row>
    <row r="2" spans="1:22" ht="16.5" hidden="1" thickBot="1" x14ac:dyDescent="0.3">
      <c r="C2" s="281" t="s">
        <v>866</v>
      </c>
      <c r="D2" s="257"/>
      <c r="E2" s="258"/>
      <c r="F2" s="258"/>
      <c r="G2" s="259"/>
      <c r="H2" s="259"/>
      <c r="I2" s="259"/>
      <c r="J2" s="259"/>
      <c r="K2" s="259"/>
      <c r="L2" s="259"/>
      <c r="N2" s="259"/>
      <c r="O2" s="259"/>
      <c r="P2" s="259"/>
      <c r="Q2" s="259"/>
      <c r="R2" s="259"/>
      <c r="S2" s="283" t="s">
        <v>866</v>
      </c>
      <c r="T2" s="259"/>
      <c r="U2" s="259"/>
    </row>
    <row r="3" spans="1:22" ht="20.25" hidden="1" x14ac:dyDescent="0.25">
      <c r="B3" s="254"/>
      <c r="C3" s="828" t="s">
        <v>72</v>
      </c>
      <c r="D3" s="835" t="s">
        <v>35</v>
      </c>
      <c r="E3" s="294" t="s">
        <v>775</v>
      </c>
      <c r="F3" s="260"/>
      <c r="G3" s="261"/>
      <c r="H3" s="261"/>
      <c r="I3" s="261"/>
      <c r="J3" s="261"/>
      <c r="K3" s="262"/>
      <c r="L3" s="244" t="s">
        <v>774</v>
      </c>
      <c r="M3" s="244"/>
      <c r="N3" s="244"/>
      <c r="O3" s="244"/>
      <c r="P3" s="244"/>
      <c r="Q3" s="244"/>
      <c r="R3" s="244"/>
      <c r="S3" s="263"/>
      <c r="T3" s="244"/>
      <c r="U3" s="263"/>
    </row>
    <row r="4" spans="1:22" ht="18" customHeight="1" x14ac:dyDescent="0.25">
      <c r="B4" s="255"/>
      <c r="C4" s="829"/>
      <c r="D4" s="836"/>
      <c r="E4" s="900" t="s">
        <v>1212</v>
      </c>
      <c r="F4" s="824" t="s">
        <v>385</v>
      </c>
      <c r="G4" s="902" t="s">
        <v>74</v>
      </c>
      <c r="H4" s="902"/>
      <c r="I4" s="824" t="s">
        <v>386</v>
      </c>
      <c r="J4" s="824" t="s">
        <v>162</v>
      </c>
      <c r="K4" s="826" t="s">
        <v>158</v>
      </c>
      <c r="L4" s="820" t="s">
        <v>1212</v>
      </c>
      <c r="M4" s="820" t="s">
        <v>149</v>
      </c>
      <c r="N4" s="820" t="s">
        <v>385</v>
      </c>
      <c r="O4" s="896" t="s">
        <v>74</v>
      </c>
      <c r="P4" s="896"/>
      <c r="Q4" s="820" t="s">
        <v>386</v>
      </c>
      <c r="R4" s="820" t="s">
        <v>388</v>
      </c>
      <c r="S4" s="801" t="s">
        <v>162</v>
      </c>
      <c r="T4" s="820" t="s">
        <v>827</v>
      </c>
      <c r="U4" s="801" t="s">
        <v>828</v>
      </c>
    </row>
    <row r="5" spans="1:22" ht="18" customHeight="1" x14ac:dyDescent="0.25">
      <c r="B5" s="264"/>
      <c r="C5" s="898"/>
      <c r="D5" s="899"/>
      <c r="E5" s="901"/>
      <c r="F5" s="897"/>
      <c r="G5" s="220" t="s">
        <v>332</v>
      </c>
      <c r="H5" s="220" t="s">
        <v>30</v>
      </c>
      <c r="I5" s="897"/>
      <c r="J5" s="897"/>
      <c r="K5" s="903"/>
      <c r="L5" s="893"/>
      <c r="M5" s="893"/>
      <c r="N5" s="893"/>
      <c r="O5" s="127" t="s">
        <v>332</v>
      </c>
      <c r="P5" s="127" t="s">
        <v>30</v>
      </c>
      <c r="Q5" s="893"/>
      <c r="R5" s="893"/>
      <c r="S5" s="892"/>
      <c r="T5" s="893"/>
      <c r="U5" s="892"/>
    </row>
    <row r="6" spans="1:22" ht="24" customHeight="1" x14ac:dyDescent="0.25">
      <c r="B6" s="265">
        <v>1</v>
      </c>
      <c r="C6" s="269" t="str">
        <f>IF(Inventory!B8="","",Inventory!B8)</f>
        <v/>
      </c>
      <c r="D6" s="270" t="str">
        <f>IF(Inventory!C8="","",Inventory!C8)</f>
        <v/>
      </c>
      <c r="E6" s="295" t="str">
        <f>IF(Inventory!D8="","",Inventory!D8)&amp;" "&amp;IF(Inventory!E8="","",Inventory!E8)</f>
        <v xml:space="preserve"> </v>
      </c>
      <c r="F6" s="293" t="str">
        <f>IF(Inventory!G8="","",Inventory!G8)</f>
        <v/>
      </c>
      <c r="G6" s="271" t="str">
        <f>IF(Inventory!I8="","",Inventory!I8)</f>
        <v/>
      </c>
      <c r="H6" s="291" t="str">
        <f>IF(Inventory!H8="","",Inventory!H8)</f>
        <v/>
      </c>
      <c r="I6" s="271" t="str">
        <f>IF(Inventory!J8="","",Inventory!J8)</f>
        <v/>
      </c>
      <c r="J6" s="271" t="str">
        <f>IF(Inventory!K8="","",Inventory!K8)</f>
        <v/>
      </c>
      <c r="K6" s="272" t="str">
        <f>IF(Inventory!L8="","",Inventory!L8)</f>
        <v/>
      </c>
      <c r="L6" s="273" t="str">
        <f>IF(Inventory!M8="","",Inventory!M8)&amp;" "&amp;IF(Inventory!N8="","",Inventory!N8)</f>
        <v xml:space="preserve"> </v>
      </c>
      <c r="M6" s="273" t="str">
        <f>IF(Inventory!O8="","",Inventory!O8)</f>
        <v/>
      </c>
      <c r="N6" s="273" t="str">
        <f>IF(Inventory!Q8="","",Inventory!Q8)</f>
        <v/>
      </c>
      <c r="O6" s="273" t="str">
        <f>IF(Inventory!S8="","",Inventory!S8)</f>
        <v/>
      </c>
      <c r="P6" s="289" t="str">
        <f>IF(Inventory!R8="","",Inventory!R8)</f>
        <v/>
      </c>
      <c r="Q6" s="273" t="str">
        <f>IF(Inventory!V8="","",Inventory!V8)</f>
        <v/>
      </c>
      <c r="R6" s="273" t="str">
        <f>IF(Inventory!W8="","",Inventory!W8)</f>
        <v/>
      </c>
      <c r="S6" s="274" t="str">
        <f>IF(Inventory!AF8="","",Inventory!AF8)</f>
        <v/>
      </c>
      <c r="T6" s="271" t="str">
        <f>IF(Inventory!Y8="","",Inventory!Y8)</f>
        <v/>
      </c>
      <c r="U6" s="272" t="str">
        <f>IF(Inventory!Z8="","",Inventory!Z8)</f>
        <v/>
      </c>
      <c r="V6" s="282">
        <f>IFERROR(SEARCH("Chiller",N6),0)</f>
        <v>0</v>
      </c>
    </row>
    <row r="7" spans="1:22" ht="24" customHeight="1" x14ac:dyDescent="0.25">
      <c r="B7" s="266">
        <v>2</v>
      </c>
      <c r="C7" s="269" t="str">
        <f>IF(Inventory!B9="","",Inventory!B9)</f>
        <v/>
      </c>
      <c r="D7" s="270" t="str">
        <f>IF(Inventory!C9="","",Inventory!C9)</f>
        <v/>
      </c>
      <c r="E7" s="295" t="str">
        <f>IF(Inventory!D9="","",Inventory!D9)&amp;" "&amp;IF(Inventory!E9="","",Inventory!E9)</f>
        <v xml:space="preserve"> </v>
      </c>
      <c r="F7" s="293" t="str">
        <f>IF(Inventory!G9="","",Inventory!G9)</f>
        <v/>
      </c>
      <c r="G7" s="271" t="str">
        <f>IF(Inventory!I9="","",Inventory!I9)</f>
        <v/>
      </c>
      <c r="H7" s="291" t="str">
        <f>IF(Inventory!H9="","",Inventory!H9)</f>
        <v/>
      </c>
      <c r="I7" s="271" t="str">
        <f>IF(Inventory!J9="","",Inventory!J9)</f>
        <v/>
      </c>
      <c r="J7" s="271" t="str">
        <f>IF(Inventory!K9="","",Inventory!K9)</f>
        <v/>
      </c>
      <c r="K7" s="272" t="str">
        <f>IF(Inventory!L9="","",Inventory!L9)</f>
        <v/>
      </c>
      <c r="L7" s="273" t="str">
        <f>IF(Inventory!M9="","",Inventory!M9)&amp;" "&amp;IF(Inventory!N9="","",Inventory!N9)</f>
        <v xml:space="preserve"> </v>
      </c>
      <c r="M7" s="273" t="str">
        <f>IF(Inventory!O9="","",Inventory!O9)</f>
        <v/>
      </c>
      <c r="N7" s="273" t="str">
        <f>IF(Inventory!Q9="","",Inventory!Q9)</f>
        <v/>
      </c>
      <c r="O7" s="273" t="str">
        <f>IF(Inventory!S9="","",Inventory!S9)</f>
        <v/>
      </c>
      <c r="P7" s="289" t="str">
        <f>IF(Inventory!R9="","",Inventory!R9)</f>
        <v/>
      </c>
      <c r="Q7" s="273" t="str">
        <f>IF(Inventory!V9="","",Inventory!V9)</f>
        <v/>
      </c>
      <c r="R7" s="273" t="str">
        <f>IF(Inventory!W9="","",Inventory!W9)</f>
        <v/>
      </c>
      <c r="S7" s="274" t="str">
        <f>IF(Inventory!AF9="","",Inventory!AF9)</f>
        <v/>
      </c>
      <c r="T7" s="271" t="str">
        <f>IF(Inventory!Y9="","",Inventory!Y9)</f>
        <v/>
      </c>
      <c r="U7" s="272" t="str">
        <f>IF(Inventory!Z9="","",Inventory!Z9)</f>
        <v/>
      </c>
      <c r="V7" s="282">
        <f t="shared" ref="V7:V30" si="0">IFERROR(SEARCH("Chiller",N7),0)</f>
        <v>0</v>
      </c>
    </row>
    <row r="8" spans="1:22" ht="24" customHeight="1" x14ac:dyDescent="0.25">
      <c r="B8" s="265">
        <v>3</v>
      </c>
      <c r="C8" s="269" t="str">
        <f>IF(Inventory!B10="","",Inventory!B10)</f>
        <v/>
      </c>
      <c r="D8" s="270" t="str">
        <f>IF(Inventory!C10="","",Inventory!C10)</f>
        <v/>
      </c>
      <c r="E8" s="295" t="str">
        <f>IF(Inventory!D10="","",Inventory!D10)&amp;" "&amp;IF(Inventory!E10="","",Inventory!E10)</f>
        <v xml:space="preserve"> </v>
      </c>
      <c r="F8" s="293" t="str">
        <f>IF(Inventory!G10="","",Inventory!G10)</f>
        <v/>
      </c>
      <c r="G8" s="271" t="str">
        <f>IF(Inventory!I10="","",Inventory!I10)</f>
        <v/>
      </c>
      <c r="H8" s="291" t="str">
        <f>IF(Inventory!H10="","",Inventory!H10)</f>
        <v/>
      </c>
      <c r="I8" s="271" t="str">
        <f>IF(Inventory!J10="","",Inventory!J10)</f>
        <v/>
      </c>
      <c r="J8" s="271" t="str">
        <f>IF(Inventory!K10="","",Inventory!K10)</f>
        <v/>
      </c>
      <c r="K8" s="272" t="str">
        <f>IF(Inventory!L10="","",Inventory!L10)</f>
        <v/>
      </c>
      <c r="L8" s="273" t="str">
        <f>IF(Inventory!M10="","",Inventory!M10)&amp;" "&amp;IF(Inventory!N10="","",Inventory!N10)</f>
        <v xml:space="preserve"> </v>
      </c>
      <c r="M8" s="273" t="str">
        <f>IF(Inventory!O10="","",Inventory!O10)</f>
        <v/>
      </c>
      <c r="N8" s="273" t="str">
        <f>IF(Inventory!Q10="","",Inventory!Q10)</f>
        <v/>
      </c>
      <c r="O8" s="273" t="str">
        <f>IF(Inventory!S10="","",Inventory!S10)</f>
        <v/>
      </c>
      <c r="P8" s="289" t="str">
        <f>IF(Inventory!R10="","",Inventory!R10)</f>
        <v/>
      </c>
      <c r="Q8" s="273" t="str">
        <f>IF(Inventory!V10="","",Inventory!V10)</f>
        <v/>
      </c>
      <c r="R8" s="273" t="str">
        <f>IF(Inventory!W10="","",Inventory!W10)</f>
        <v/>
      </c>
      <c r="S8" s="274" t="str">
        <f>IF(Inventory!AF10="","",Inventory!AF10)</f>
        <v/>
      </c>
      <c r="T8" s="271" t="str">
        <f>IF(Inventory!Y10="","",Inventory!Y10)</f>
        <v/>
      </c>
      <c r="U8" s="272" t="str">
        <f>IF(Inventory!Z10="","",Inventory!Z10)</f>
        <v/>
      </c>
      <c r="V8" s="282">
        <f t="shared" si="0"/>
        <v>0</v>
      </c>
    </row>
    <row r="9" spans="1:22" ht="24" customHeight="1" x14ac:dyDescent="0.25">
      <c r="B9" s="265">
        <v>4</v>
      </c>
      <c r="C9" s="269" t="str">
        <f>IF(Inventory!B11="","",Inventory!B11)</f>
        <v/>
      </c>
      <c r="D9" s="270" t="str">
        <f>IF(Inventory!C11="","",Inventory!C11)</f>
        <v/>
      </c>
      <c r="E9" s="295" t="str">
        <f>IF(Inventory!D11="","",Inventory!D11)&amp;" "&amp;IF(Inventory!E11="","",Inventory!E11)</f>
        <v xml:space="preserve"> </v>
      </c>
      <c r="F9" s="293" t="str">
        <f>IF(Inventory!G11="","",Inventory!G11)</f>
        <v/>
      </c>
      <c r="G9" s="271" t="str">
        <f>IF(Inventory!I11="","",Inventory!I11)</f>
        <v/>
      </c>
      <c r="H9" s="291" t="str">
        <f>IF(Inventory!H11="","",Inventory!H11)</f>
        <v/>
      </c>
      <c r="I9" s="271" t="str">
        <f>IF(Inventory!J11="","",Inventory!J11)</f>
        <v/>
      </c>
      <c r="J9" s="271" t="str">
        <f>IF(Inventory!K11="","",Inventory!K11)</f>
        <v/>
      </c>
      <c r="K9" s="272" t="str">
        <f>IF(Inventory!L11="","",Inventory!L11)</f>
        <v/>
      </c>
      <c r="L9" s="273" t="str">
        <f>IF(Inventory!M11="","",Inventory!M11)&amp;" "&amp;IF(Inventory!N11="","",Inventory!N11)</f>
        <v xml:space="preserve"> </v>
      </c>
      <c r="M9" s="273" t="str">
        <f>IF(Inventory!O11="","",Inventory!O11)</f>
        <v/>
      </c>
      <c r="N9" s="273" t="str">
        <f>IF(Inventory!Q11="","",Inventory!Q11)</f>
        <v/>
      </c>
      <c r="O9" s="273" t="str">
        <f>IF(Inventory!S11="","",Inventory!S11)</f>
        <v/>
      </c>
      <c r="P9" s="289" t="str">
        <f>IF(Inventory!R11="","",Inventory!R11)</f>
        <v/>
      </c>
      <c r="Q9" s="273" t="str">
        <f>IF(Inventory!V11="","",Inventory!V11)</f>
        <v/>
      </c>
      <c r="R9" s="273" t="str">
        <f>IF(Inventory!W11="","",Inventory!W11)</f>
        <v/>
      </c>
      <c r="S9" s="274" t="str">
        <f>IF(Inventory!AF11="","",Inventory!AF11)</f>
        <v/>
      </c>
      <c r="T9" s="271" t="str">
        <f>IF(Inventory!Y11="","",Inventory!Y11)</f>
        <v/>
      </c>
      <c r="U9" s="272" t="str">
        <f>IF(Inventory!Z11="","",Inventory!Z11)</f>
        <v/>
      </c>
      <c r="V9" s="282">
        <f t="shared" si="0"/>
        <v>0</v>
      </c>
    </row>
    <row r="10" spans="1:22" ht="24" customHeight="1" x14ac:dyDescent="0.25">
      <c r="B10" s="266">
        <v>5</v>
      </c>
      <c r="C10" s="269" t="str">
        <f>IF(Inventory!B12="","",Inventory!B12)</f>
        <v/>
      </c>
      <c r="D10" s="270" t="str">
        <f>IF(Inventory!C12="","",Inventory!C12)</f>
        <v/>
      </c>
      <c r="E10" s="295" t="str">
        <f>IF(Inventory!D12="","",Inventory!D12)&amp;" "&amp;IF(Inventory!E12="","",Inventory!E12)</f>
        <v xml:space="preserve"> </v>
      </c>
      <c r="F10" s="293" t="str">
        <f>IF(Inventory!G12="","",Inventory!G12)</f>
        <v/>
      </c>
      <c r="G10" s="271" t="str">
        <f>IF(Inventory!I12="","",Inventory!I12)</f>
        <v/>
      </c>
      <c r="H10" s="291" t="str">
        <f>IF(Inventory!H12="","",Inventory!H12)</f>
        <v/>
      </c>
      <c r="I10" s="271" t="str">
        <f>IF(Inventory!J12="","",Inventory!J12)</f>
        <v/>
      </c>
      <c r="J10" s="271" t="str">
        <f>IF(Inventory!K12="","",Inventory!K12)</f>
        <v/>
      </c>
      <c r="K10" s="272" t="str">
        <f>IF(Inventory!L12="","",Inventory!L12)</f>
        <v/>
      </c>
      <c r="L10" s="273" t="str">
        <f>IF(Inventory!M12="","",Inventory!M12)&amp;" "&amp;IF(Inventory!N12="","",Inventory!N12)</f>
        <v xml:space="preserve"> </v>
      </c>
      <c r="M10" s="273" t="str">
        <f>IF(Inventory!O12="","",Inventory!O12)</f>
        <v/>
      </c>
      <c r="N10" s="273" t="str">
        <f>IF(Inventory!Q12="","",Inventory!Q12)</f>
        <v/>
      </c>
      <c r="O10" s="273" t="str">
        <f>IF(Inventory!S12="","",Inventory!S12)</f>
        <v/>
      </c>
      <c r="P10" s="289" t="str">
        <f>IF(Inventory!R12="","",Inventory!R12)</f>
        <v/>
      </c>
      <c r="Q10" s="273" t="str">
        <f>IF(Inventory!V12="","",Inventory!V12)</f>
        <v/>
      </c>
      <c r="R10" s="273" t="str">
        <f>IF(Inventory!W12="","",Inventory!W12)</f>
        <v/>
      </c>
      <c r="S10" s="274" t="str">
        <f>IF(Inventory!AF12="","",Inventory!AF12)</f>
        <v/>
      </c>
      <c r="T10" s="271" t="str">
        <f>IF(Inventory!Y12="","",Inventory!Y12)</f>
        <v/>
      </c>
      <c r="U10" s="272" t="str">
        <f>IF(Inventory!Z12="","",Inventory!Z12)</f>
        <v/>
      </c>
      <c r="V10" s="282">
        <f t="shared" si="0"/>
        <v>0</v>
      </c>
    </row>
    <row r="11" spans="1:22" ht="24" customHeight="1" x14ac:dyDescent="0.25">
      <c r="B11" s="265">
        <v>6</v>
      </c>
      <c r="C11" s="269" t="str">
        <f>IF(Inventory!B13="","",Inventory!B13)</f>
        <v/>
      </c>
      <c r="D11" s="270" t="str">
        <f>IF(Inventory!C13="","",Inventory!C13)</f>
        <v/>
      </c>
      <c r="E11" s="295" t="str">
        <f>IF(Inventory!D13="","",Inventory!D13)&amp;" "&amp;IF(Inventory!E13="","",Inventory!E13)</f>
        <v xml:space="preserve"> </v>
      </c>
      <c r="F11" s="293" t="str">
        <f>IF(Inventory!G13="","",Inventory!G13)</f>
        <v/>
      </c>
      <c r="G11" s="271" t="str">
        <f>IF(Inventory!I13="","",Inventory!I13)</f>
        <v/>
      </c>
      <c r="H11" s="291" t="str">
        <f>IF(Inventory!H13="","",Inventory!H13)</f>
        <v/>
      </c>
      <c r="I11" s="271" t="str">
        <f>IF(Inventory!J13="","",Inventory!J13)</f>
        <v/>
      </c>
      <c r="J11" s="271" t="str">
        <f>IF(Inventory!K13="","",Inventory!K13)</f>
        <v/>
      </c>
      <c r="K11" s="272" t="str">
        <f>IF(Inventory!L13="","",Inventory!L13)</f>
        <v/>
      </c>
      <c r="L11" s="273" t="str">
        <f>IF(Inventory!M13="","",Inventory!M13)&amp;" "&amp;IF(Inventory!N13="","",Inventory!N13)</f>
        <v xml:space="preserve"> </v>
      </c>
      <c r="M11" s="273" t="str">
        <f>IF(Inventory!O13="","",Inventory!O13)</f>
        <v/>
      </c>
      <c r="N11" s="273" t="str">
        <f>IF(Inventory!Q13="","",Inventory!Q13)</f>
        <v/>
      </c>
      <c r="O11" s="273" t="str">
        <f>IF(Inventory!S13="","",Inventory!S13)</f>
        <v/>
      </c>
      <c r="P11" s="289" t="str">
        <f>IF(Inventory!R13="","",Inventory!R13)</f>
        <v/>
      </c>
      <c r="Q11" s="273" t="str">
        <f>IF(Inventory!V13="","",Inventory!V13)</f>
        <v/>
      </c>
      <c r="R11" s="273" t="str">
        <f>IF(Inventory!W13="","",Inventory!W13)</f>
        <v/>
      </c>
      <c r="S11" s="274" t="str">
        <f>IF(Inventory!AF13="","",Inventory!AF13)</f>
        <v/>
      </c>
      <c r="T11" s="271" t="str">
        <f>IF(Inventory!Y13="","",Inventory!Y13)</f>
        <v/>
      </c>
      <c r="U11" s="272" t="str">
        <f>IF(Inventory!Z13="","",Inventory!Z13)</f>
        <v/>
      </c>
      <c r="V11" s="282">
        <f t="shared" si="0"/>
        <v>0</v>
      </c>
    </row>
    <row r="12" spans="1:22" ht="24" customHeight="1" x14ac:dyDescent="0.25">
      <c r="B12" s="265">
        <v>7</v>
      </c>
      <c r="C12" s="269" t="str">
        <f>IF(Inventory!B14="","",Inventory!B14)</f>
        <v/>
      </c>
      <c r="D12" s="270" t="str">
        <f>IF(Inventory!C14="","",Inventory!C14)</f>
        <v/>
      </c>
      <c r="E12" s="295" t="str">
        <f>IF(Inventory!D14="","",Inventory!D14)&amp;" "&amp;IF(Inventory!E14="","",Inventory!E14)</f>
        <v xml:space="preserve"> </v>
      </c>
      <c r="F12" s="293" t="str">
        <f>IF(Inventory!G14="","",Inventory!G14)</f>
        <v/>
      </c>
      <c r="G12" s="271" t="str">
        <f>IF(Inventory!I14="","",Inventory!I14)</f>
        <v/>
      </c>
      <c r="H12" s="291" t="str">
        <f>IF(Inventory!H14="","",Inventory!H14)</f>
        <v/>
      </c>
      <c r="I12" s="271" t="str">
        <f>IF(Inventory!J14="","",Inventory!J14)</f>
        <v/>
      </c>
      <c r="J12" s="271" t="str">
        <f>IF(Inventory!K14="","",Inventory!K14)</f>
        <v/>
      </c>
      <c r="K12" s="272" t="str">
        <f>IF(Inventory!L14="","",Inventory!L14)</f>
        <v/>
      </c>
      <c r="L12" s="273" t="str">
        <f>IF(Inventory!M14="","",Inventory!M14)&amp;" "&amp;IF(Inventory!N14="","",Inventory!N14)</f>
        <v xml:space="preserve"> </v>
      </c>
      <c r="M12" s="273" t="str">
        <f>IF(Inventory!O14="","",Inventory!O14)</f>
        <v/>
      </c>
      <c r="N12" s="273" t="str">
        <f>IF(Inventory!Q14="","",Inventory!Q14)</f>
        <v/>
      </c>
      <c r="O12" s="273" t="str">
        <f>IF(Inventory!S14="","",Inventory!S14)</f>
        <v/>
      </c>
      <c r="P12" s="289" t="str">
        <f>IF(Inventory!R14="","",Inventory!R14)</f>
        <v/>
      </c>
      <c r="Q12" s="273" t="str">
        <f>IF(Inventory!V14="","",Inventory!V14)</f>
        <v/>
      </c>
      <c r="R12" s="273" t="str">
        <f>IF(Inventory!W14="","",Inventory!W14)</f>
        <v/>
      </c>
      <c r="S12" s="274" t="str">
        <f>IF(Inventory!AF14="","",Inventory!AF14)</f>
        <v/>
      </c>
      <c r="T12" s="271" t="str">
        <f>IF(Inventory!Y14="","",Inventory!Y14)</f>
        <v/>
      </c>
      <c r="U12" s="272" t="str">
        <f>IF(Inventory!Z14="","",Inventory!Z14)</f>
        <v/>
      </c>
      <c r="V12" s="282">
        <f t="shared" si="0"/>
        <v>0</v>
      </c>
    </row>
    <row r="13" spans="1:22" ht="24" customHeight="1" x14ac:dyDescent="0.25">
      <c r="B13" s="266">
        <v>8</v>
      </c>
      <c r="C13" s="269" t="str">
        <f>IF(Inventory!B15="","",Inventory!B15)</f>
        <v/>
      </c>
      <c r="D13" s="270" t="str">
        <f>IF(Inventory!C15="","",Inventory!C15)</f>
        <v/>
      </c>
      <c r="E13" s="295" t="str">
        <f>IF(Inventory!D15="","",Inventory!D15)&amp;" "&amp;IF(Inventory!E15="","",Inventory!E15)</f>
        <v xml:space="preserve"> </v>
      </c>
      <c r="F13" s="293" t="str">
        <f>IF(Inventory!G15="","",Inventory!G15)</f>
        <v/>
      </c>
      <c r="G13" s="271" t="str">
        <f>IF(Inventory!I15="","",Inventory!I15)</f>
        <v/>
      </c>
      <c r="H13" s="291" t="str">
        <f>IF(Inventory!H15="","",Inventory!H15)</f>
        <v/>
      </c>
      <c r="I13" s="271" t="str">
        <f>IF(Inventory!J15="","",Inventory!J15)</f>
        <v/>
      </c>
      <c r="J13" s="271" t="str">
        <f>IF(Inventory!K15="","",Inventory!K15)</f>
        <v/>
      </c>
      <c r="K13" s="272" t="str">
        <f>IF(Inventory!L15="","",Inventory!L15)</f>
        <v/>
      </c>
      <c r="L13" s="273" t="str">
        <f>IF(Inventory!M15="","",Inventory!M15)&amp;" "&amp;IF(Inventory!N15="","",Inventory!N15)</f>
        <v xml:space="preserve"> </v>
      </c>
      <c r="M13" s="273" t="str">
        <f>IF(Inventory!O15="","",Inventory!O15)</f>
        <v/>
      </c>
      <c r="N13" s="273" t="str">
        <f>IF(Inventory!Q15="","",Inventory!Q15)</f>
        <v/>
      </c>
      <c r="O13" s="273" t="str">
        <f>IF(Inventory!S15="","",Inventory!S15)</f>
        <v/>
      </c>
      <c r="P13" s="289" t="str">
        <f>IF(Inventory!R15="","",Inventory!R15)</f>
        <v/>
      </c>
      <c r="Q13" s="273" t="str">
        <f>IF(Inventory!V15="","",Inventory!V15)</f>
        <v/>
      </c>
      <c r="R13" s="273" t="str">
        <f>IF(Inventory!W15="","",Inventory!W15)</f>
        <v/>
      </c>
      <c r="S13" s="274" t="str">
        <f>IF(Inventory!AF15="","",Inventory!AF15)</f>
        <v/>
      </c>
      <c r="T13" s="271" t="str">
        <f>IF(Inventory!Y15="","",Inventory!Y15)</f>
        <v/>
      </c>
      <c r="U13" s="272" t="str">
        <f>IF(Inventory!Z15="","",Inventory!Z15)</f>
        <v/>
      </c>
      <c r="V13" s="282">
        <f t="shared" si="0"/>
        <v>0</v>
      </c>
    </row>
    <row r="14" spans="1:22" ht="24" customHeight="1" x14ac:dyDescent="0.25">
      <c r="B14" s="265">
        <v>9</v>
      </c>
      <c r="C14" s="269" t="str">
        <f>IF(Inventory!B16="","",Inventory!B16)</f>
        <v/>
      </c>
      <c r="D14" s="270" t="str">
        <f>IF(Inventory!C16="","",Inventory!C16)</f>
        <v/>
      </c>
      <c r="E14" s="295" t="str">
        <f>IF(Inventory!D16="","",Inventory!D16)&amp;" "&amp;IF(Inventory!E16="","",Inventory!E16)</f>
        <v xml:space="preserve"> </v>
      </c>
      <c r="F14" s="293" t="str">
        <f>IF(Inventory!G16="","",Inventory!G16)</f>
        <v/>
      </c>
      <c r="G14" s="271" t="str">
        <f>IF(Inventory!I16="","",Inventory!I16)</f>
        <v/>
      </c>
      <c r="H14" s="291" t="str">
        <f>IF(Inventory!H16="","",Inventory!H16)</f>
        <v/>
      </c>
      <c r="I14" s="271" t="str">
        <f>IF(Inventory!J16="","",Inventory!J16)</f>
        <v/>
      </c>
      <c r="J14" s="271" t="str">
        <f>IF(Inventory!K16="","",Inventory!K16)</f>
        <v/>
      </c>
      <c r="K14" s="272" t="str">
        <f>IF(Inventory!L16="","",Inventory!L16)</f>
        <v/>
      </c>
      <c r="L14" s="273" t="str">
        <f>IF(Inventory!M16="","",Inventory!M16)&amp;" "&amp;IF(Inventory!N16="","",Inventory!N16)</f>
        <v xml:space="preserve"> </v>
      </c>
      <c r="M14" s="273" t="str">
        <f>IF(Inventory!O16="","",Inventory!O16)</f>
        <v/>
      </c>
      <c r="N14" s="273" t="str">
        <f>IF(Inventory!Q16="","",Inventory!Q16)</f>
        <v/>
      </c>
      <c r="O14" s="273" t="str">
        <f>IF(Inventory!S16="","",Inventory!S16)</f>
        <v/>
      </c>
      <c r="P14" s="289" t="str">
        <f>IF(Inventory!R16="","",Inventory!R16)</f>
        <v/>
      </c>
      <c r="Q14" s="273" t="str">
        <f>IF(Inventory!V16="","",Inventory!V16)</f>
        <v/>
      </c>
      <c r="R14" s="273" t="str">
        <f>IF(Inventory!W16="","",Inventory!W16)</f>
        <v/>
      </c>
      <c r="S14" s="274" t="str">
        <f>IF(Inventory!AF16="","",Inventory!AF16)</f>
        <v/>
      </c>
      <c r="T14" s="271" t="str">
        <f>IF(Inventory!Y16="","",Inventory!Y16)</f>
        <v/>
      </c>
      <c r="U14" s="272" t="str">
        <f>IF(Inventory!Z16="","",Inventory!Z16)</f>
        <v/>
      </c>
      <c r="V14" s="282">
        <f t="shared" si="0"/>
        <v>0</v>
      </c>
    </row>
    <row r="15" spans="1:22" ht="24" customHeight="1" x14ac:dyDescent="0.25">
      <c r="B15" s="265">
        <v>10</v>
      </c>
      <c r="C15" s="269" t="str">
        <f>IF(Inventory!B17="","",Inventory!B17)</f>
        <v/>
      </c>
      <c r="D15" s="270" t="str">
        <f>IF(Inventory!C17="","",Inventory!C17)</f>
        <v/>
      </c>
      <c r="E15" s="295" t="str">
        <f>IF(Inventory!D17="","",Inventory!D17)&amp;" "&amp;IF(Inventory!E17="","",Inventory!E17)</f>
        <v xml:space="preserve"> </v>
      </c>
      <c r="F15" s="293" t="str">
        <f>IF(Inventory!G17="","",Inventory!G17)</f>
        <v/>
      </c>
      <c r="G15" s="271" t="str">
        <f>IF(Inventory!I17="","",Inventory!I17)</f>
        <v/>
      </c>
      <c r="H15" s="291" t="str">
        <f>IF(Inventory!H17="","",Inventory!H17)</f>
        <v/>
      </c>
      <c r="I15" s="271" t="str">
        <f>IF(Inventory!J17="","",Inventory!J17)</f>
        <v/>
      </c>
      <c r="J15" s="271" t="str">
        <f>IF(Inventory!K17="","",Inventory!K17)</f>
        <v/>
      </c>
      <c r="K15" s="272" t="str">
        <f>IF(Inventory!L17="","",Inventory!L17)</f>
        <v/>
      </c>
      <c r="L15" s="273" t="str">
        <f>IF(Inventory!M17="","",Inventory!M17)&amp;" "&amp;IF(Inventory!N17="","",Inventory!N17)</f>
        <v xml:space="preserve"> </v>
      </c>
      <c r="M15" s="273" t="str">
        <f>IF(Inventory!O17="","",Inventory!O17)</f>
        <v/>
      </c>
      <c r="N15" s="273" t="str">
        <f>IF(Inventory!Q17="","",Inventory!Q17)</f>
        <v/>
      </c>
      <c r="O15" s="273" t="str">
        <f>IF(Inventory!S17="","",Inventory!S17)</f>
        <v/>
      </c>
      <c r="P15" s="289" t="str">
        <f>IF(Inventory!R17="","",Inventory!R17)</f>
        <v/>
      </c>
      <c r="Q15" s="273" t="str">
        <f>IF(Inventory!V17="","",Inventory!V17)</f>
        <v/>
      </c>
      <c r="R15" s="273" t="str">
        <f>IF(Inventory!W17="","",Inventory!W17)</f>
        <v/>
      </c>
      <c r="S15" s="274" t="str">
        <f>IF(Inventory!AF17="","",Inventory!AF17)</f>
        <v/>
      </c>
      <c r="T15" s="271" t="str">
        <f>IF(Inventory!Y17="","",Inventory!Y17)</f>
        <v/>
      </c>
      <c r="U15" s="272" t="str">
        <f>IF(Inventory!Z17="","",Inventory!Z17)</f>
        <v/>
      </c>
      <c r="V15" s="282">
        <f t="shared" si="0"/>
        <v>0</v>
      </c>
    </row>
    <row r="16" spans="1:22" ht="24" customHeight="1" x14ac:dyDescent="0.25">
      <c r="B16" s="266">
        <v>11</v>
      </c>
      <c r="C16" s="269" t="str">
        <f>IF(Inventory!B18="","",Inventory!B18)</f>
        <v/>
      </c>
      <c r="D16" s="270" t="str">
        <f>IF(Inventory!C18="","",Inventory!C18)</f>
        <v/>
      </c>
      <c r="E16" s="295" t="str">
        <f>IF(Inventory!D18="","",Inventory!D18)&amp;" "&amp;IF(Inventory!E18="","",Inventory!E18)</f>
        <v xml:space="preserve"> </v>
      </c>
      <c r="F16" s="293" t="str">
        <f>IF(Inventory!G18="","",Inventory!G18)</f>
        <v/>
      </c>
      <c r="G16" s="271" t="str">
        <f>IF(Inventory!I18="","",Inventory!I18)</f>
        <v/>
      </c>
      <c r="H16" s="291" t="str">
        <f>IF(Inventory!H18="","",Inventory!H18)</f>
        <v/>
      </c>
      <c r="I16" s="271" t="str">
        <f>IF(Inventory!J18="","",Inventory!J18)</f>
        <v/>
      </c>
      <c r="J16" s="271" t="str">
        <f>IF(Inventory!K18="","",Inventory!K18)</f>
        <v/>
      </c>
      <c r="K16" s="272" t="str">
        <f>IF(Inventory!L18="","",Inventory!L18)</f>
        <v/>
      </c>
      <c r="L16" s="273" t="str">
        <f>IF(Inventory!M18="","",Inventory!M18)&amp;" "&amp;IF(Inventory!N18="","",Inventory!N18)</f>
        <v xml:space="preserve"> </v>
      </c>
      <c r="M16" s="273" t="str">
        <f>IF(Inventory!O18="","",Inventory!O18)</f>
        <v/>
      </c>
      <c r="N16" s="273" t="str">
        <f>IF(Inventory!Q18="","",Inventory!Q18)</f>
        <v/>
      </c>
      <c r="O16" s="273" t="str">
        <f>IF(Inventory!S18="","",Inventory!S18)</f>
        <v/>
      </c>
      <c r="P16" s="289" t="str">
        <f>IF(Inventory!R18="","",Inventory!R18)</f>
        <v/>
      </c>
      <c r="Q16" s="273" t="str">
        <f>IF(Inventory!V18="","",Inventory!V18)</f>
        <v/>
      </c>
      <c r="R16" s="273" t="str">
        <f>IF(Inventory!W18="","",Inventory!W18)</f>
        <v/>
      </c>
      <c r="S16" s="274" t="str">
        <f>IF(Inventory!AF18="","",Inventory!AF18)</f>
        <v/>
      </c>
      <c r="T16" s="271" t="str">
        <f>IF(Inventory!Y18="","",Inventory!Y18)</f>
        <v/>
      </c>
      <c r="U16" s="272" t="str">
        <f>IF(Inventory!Z18="","",Inventory!Z18)</f>
        <v/>
      </c>
      <c r="V16" s="282">
        <f t="shared" si="0"/>
        <v>0</v>
      </c>
    </row>
    <row r="17" spans="2:22" ht="24" customHeight="1" x14ac:dyDescent="0.25">
      <c r="B17" s="265">
        <v>12</v>
      </c>
      <c r="C17" s="269" t="str">
        <f>IF(Inventory!B19="","",Inventory!B19)</f>
        <v/>
      </c>
      <c r="D17" s="270" t="str">
        <f>IF(Inventory!C19="","",Inventory!C19)</f>
        <v/>
      </c>
      <c r="E17" s="295" t="str">
        <f>IF(Inventory!D19="","",Inventory!D19)&amp;" "&amp;IF(Inventory!E19="","",Inventory!E19)</f>
        <v xml:space="preserve"> </v>
      </c>
      <c r="F17" s="293" t="str">
        <f>IF(Inventory!G19="","",Inventory!G19)</f>
        <v/>
      </c>
      <c r="G17" s="271" t="str">
        <f>IF(Inventory!I19="","",Inventory!I19)</f>
        <v/>
      </c>
      <c r="H17" s="291" t="str">
        <f>IF(Inventory!H19="","",Inventory!H19)</f>
        <v/>
      </c>
      <c r="I17" s="271" t="str">
        <f>IF(Inventory!J19="","",Inventory!J19)</f>
        <v/>
      </c>
      <c r="J17" s="271" t="str">
        <f>IF(Inventory!K19="","",Inventory!K19)</f>
        <v/>
      </c>
      <c r="K17" s="272" t="str">
        <f>IF(Inventory!L19="","",Inventory!L19)</f>
        <v/>
      </c>
      <c r="L17" s="273" t="str">
        <f>IF(Inventory!M19="","",Inventory!M19)&amp;" "&amp;IF(Inventory!N19="","",Inventory!N19)</f>
        <v xml:space="preserve"> </v>
      </c>
      <c r="M17" s="273" t="str">
        <f>IF(Inventory!O19="","",Inventory!O19)</f>
        <v/>
      </c>
      <c r="N17" s="273" t="str">
        <f>IF(Inventory!Q19="","",Inventory!Q19)</f>
        <v/>
      </c>
      <c r="O17" s="273" t="str">
        <f>IF(Inventory!S19="","",Inventory!S19)</f>
        <v/>
      </c>
      <c r="P17" s="289" t="str">
        <f>IF(Inventory!R19="","",Inventory!R19)</f>
        <v/>
      </c>
      <c r="Q17" s="273" t="str">
        <f>IF(Inventory!V19="","",Inventory!V19)</f>
        <v/>
      </c>
      <c r="R17" s="273" t="str">
        <f>IF(Inventory!W19="","",Inventory!W19)</f>
        <v/>
      </c>
      <c r="S17" s="274" t="str">
        <f>IF(Inventory!AF19="","",Inventory!AF19)</f>
        <v/>
      </c>
      <c r="T17" s="271" t="str">
        <f>IF(Inventory!Y19="","",Inventory!Y19)</f>
        <v/>
      </c>
      <c r="U17" s="272" t="str">
        <f>IF(Inventory!Z19="","",Inventory!Z19)</f>
        <v/>
      </c>
      <c r="V17" s="282">
        <f t="shared" si="0"/>
        <v>0</v>
      </c>
    </row>
    <row r="18" spans="2:22" ht="24" customHeight="1" x14ac:dyDescent="0.25">
      <c r="B18" s="265">
        <v>13</v>
      </c>
      <c r="C18" s="269" t="str">
        <f>IF(Inventory!B20="","",Inventory!B20)</f>
        <v/>
      </c>
      <c r="D18" s="270" t="str">
        <f>IF(Inventory!C20="","",Inventory!C20)</f>
        <v/>
      </c>
      <c r="E18" s="295" t="str">
        <f>IF(Inventory!D20="","",Inventory!D20)&amp;" "&amp;IF(Inventory!E20="","",Inventory!E20)</f>
        <v xml:space="preserve"> </v>
      </c>
      <c r="F18" s="293" t="str">
        <f>IF(Inventory!G20="","",Inventory!G20)</f>
        <v/>
      </c>
      <c r="G18" s="271" t="str">
        <f>IF(Inventory!I20="","",Inventory!I20)</f>
        <v/>
      </c>
      <c r="H18" s="291" t="str">
        <f>IF(Inventory!H20="","",Inventory!H20)</f>
        <v/>
      </c>
      <c r="I18" s="271" t="str">
        <f>IF(Inventory!J20="","",Inventory!J20)</f>
        <v/>
      </c>
      <c r="J18" s="271" t="str">
        <f>IF(Inventory!K20="","",Inventory!K20)</f>
        <v/>
      </c>
      <c r="K18" s="272" t="str">
        <f>IF(Inventory!L20="","",Inventory!L20)</f>
        <v/>
      </c>
      <c r="L18" s="273" t="str">
        <f>IF(Inventory!M20="","",Inventory!M20)&amp;" "&amp;IF(Inventory!N20="","",Inventory!N20)</f>
        <v xml:space="preserve"> </v>
      </c>
      <c r="M18" s="273" t="str">
        <f>IF(Inventory!O20="","",Inventory!O20)</f>
        <v/>
      </c>
      <c r="N18" s="273" t="str">
        <f>IF(Inventory!Q20="","",Inventory!Q20)</f>
        <v/>
      </c>
      <c r="O18" s="273" t="str">
        <f>IF(Inventory!S20="","",Inventory!S20)</f>
        <v/>
      </c>
      <c r="P18" s="289" t="str">
        <f>IF(Inventory!R20="","",Inventory!R20)</f>
        <v/>
      </c>
      <c r="Q18" s="273" t="str">
        <f>IF(Inventory!V20="","",Inventory!V20)</f>
        <v/>
      </c>
      <c r="R18" s="273" t="str">
        <f>IF(Inventory!W20="","",Inventory!W20)</f>
        <v/>
      </c>
      <c r="S18" s="274" t="str">
        <f>IF(Inventory!AF20="","",Inventory!AF20)</f>
        <v/>
      </c>
      <c r="T18" s="271" t="str">
        <f>IF(Inventory!Y20="","",Inventory!Y20)</f>
        <v/>
      </c>
      <c r="U18" s="272" t="str">
        <f>IF(Inventory!Z20="","",Inventory!Z20)</f>
        <v/>
      </c>
      <c r="V18" s="282">
        <f t="shared" si="0"/>
        <v>0</v>
      </c>
    </row>
    <row r="19" spans="2:22" ht="24" customHeight="1" x14ac:dyDescent="0.25">
      <c r="B19" s="266">
        <v>14</v>
      </c>
      <c r="C19" s="269" t="str">
        <f>IF(Inventory!B21="","",Inventory!B21)</f>
        <v/>
      </c>
      <c r="D19" s="270" t="str">
        <f>IF(Inventory!C21="","",Inventory!C21)</f>
        <v/>
      </c>
      <c r="E19" s="295" t="str">
        <f>IF(Inventory!D21="","",Inventory!D21)&amp;" "&amp;IF(Inventory!E21="","",Inventory!E21)</f>
        <v xml:space="preserve"> </v>
      </c>
      <c r="F19" s="293" t="str">
        <f>IF(Inventory!G21="","",Inventory!G21)</f>
        <v/>
      </c>
      <c r="G19" s="271" t="str">
        <f>IF(Inventory!I21="","",Inventory!I21)</f>
        <v/>
      </c>
      <c r="H19" s="291" t="str">
        <f>IF(Inventory!H21="","",Inventory!H21)</f>
        <v/>
      </c>
      <c r="I19" s="271" t="str">
        <f>IF(Inventory!J21="","",Inventory!J21)</f>
        <v/>
      </c>
      <c r="J19" s="271" t="str">
        <f>IF(Inventory!K21="","",Inventory!K21)</f>
        <v/>
      </c>
      <c r="K19" s="272" t="str">
        <f>IF(Inventory!L21="","",Inventory!L21)</f>
        <v/>
      </c>
      <c r="L19" s="273" t="str">
        <f>IF(Inventory!M21="","",Inventory!M21)&amp;" "&amp;IF(Inventory!N21="","",Inventory!N21)</f>
        <v xml:space="preserve"> </v>
      </c>
      <c r="M19" s="273" t="str">
        <f>IF(Inventory!O21="","",Inventory!O21)</f>
        <v/>
      </c>
      <c r="N19" s="273" t="str">
        <f>IF(Inventory!Q21="","",Inventory!Q21)</f>
        <v/>
      </c>
      <c r="O19" s="273" t="str">
        <f>IF(Inventory!S21="","",Inventory!S21)</f>
        <v/>
      </c>
      <c r="P19" s="289" t="str">
        <f>IF(Inventory!R21="","",Inventory!R21)</f>
        <v/>
      </c>
      <c r="Q19" s="273" t="str">
        <f>IF(Inventory!V21="","",Inventory!V21)</f>
        <v/>
      </c>
      <c r="R19" s="273" t="str">
        <f>IF(Inventory!W21="","",Inventory!W21)</f>
        <v/>
      </c>
      <c r="S19" s="274" t="str">
        <f>IF(Inventory!AF21="","",Inventory!AF21)</f>
        <v/>
      </c>
      <c r="T19" s="271" t="str">
        <f>IF(Inventory!Y21="","",Inventory!Y21)</f>
        <v/>
      </c>
      <c r="U19" s="272" t="str">
        <f>IF(Inventory!Z21="","",Inventory!Z21)</f>
        <v/>
      </c>
      <c r="V19" s="282">
        <f t="shared" si="0"/>
        <v>0</v>
      </c>
    </row>
    <row r="20" spans="2:22" ht="24" customHeight="1" x14ac:dyDescent="0.25">
      <c r="B20" s="265">
        <v>15</v>
      </c>
      <c r="C20" s="269" t="str">
        <f>IF(Inventory!B22="","",Inventory!B22)</f>
        <v/>
      </c>
      <c r="D20" s="270" t="str">
        <f>IF(Inventory!C22="","",Inventory!C22)</f>
        <v/>
      </c>
      <c r="E20" s="295" t="str">
        <f>IF(Inventory!D22="","",Inventory!D22)&amp;" "&amp;IF(Inventory!E22="","",Inventory!E22)</f>
        <v xml:space="preserve"> </v>
      </c>
      <c r="F20" s="293" t="str">
        <f>IF(Inventory!G22="","",Inventory!G22)</f>
        <v/>
      </c>
      <c r="G20" s="271" t="str">
        <f>IF(Inventory!I22="","",Inventory!I22)</f>
        <v/>
      </c>
      <c r="H20" s="291" t="str">
        <f>IF(Inventory!H22="","",Inventory!H22)</f>
        <v/>
      </c>
      <c r="I20" s="271" t="str">
        <f>IF(Inventory!J22="","",Inventory!J22)</f>
        <v/>
      </c>
      <c r="J20" s="271" t="str">
        <f>IF(Inventory!K22="","",Inventory!K22)</f>
        <v/>
      </c>
      <c r="K20" s="272" t="str">
        <f>IF(Inventory!L22="","",Inventory!L22)</f>
        <v/>
      </c>
      <c r="L20" s="273" t="str">
        <f>IF(Inventory!M22="","",Inventory!M22)&amp;" "&amp;IF(Inventory!N22="","",Inventory!N22)</f>
        <v xml:space="preserve"> </v>
      </c>
      <c r="M20" s="273" t="str">
        <f>IF(Inventory!O22="","",Inventory!O22)</f>
        <v/>
      </c>
      <c r="N20" s="273" t="str">
        <f>IF(Inventory!Q22="","",Inventory!Q22)</f>
        <v/>
      </c>
      <c r="O20" s="273" t="str">
        <f>IF(Inventory!S22="","",Inventory!S22)</f>
        <v/>
      </c>
      <c r="P20" s="289" t="str">
        <f>IF(Inventory!R22="","",Inventory!R22)</f>
        <v/>
      </c>
      <c r="Q20" s="273" t="str">
        <f>IF(Inventory!V22="","",Inventory!V22)</f>
        <v/>
      </c>
      <c r="R20" s="273" t="str">
        <f>IF(Inventory!W22="","",Inventory!W22)</f>
        <v/>
      </c>
      <c r="S20" s="274" t="str">
        <f>IF(Inventory!AF22="","",Inventory!AF22)</f>
        <v/>
      </c>
      <c r="T20" s="271" t="str">
        <f>IF(Inventory!Y22="","",Inventory!Y22)</f>
        <v/>
      </c>
      <c r="U20" s="272" t="str">
        <f>IF(Inventory!Z22="","",Inventory!Z22)</f>
        <v/>
      </c>
      <c r="V20" s="282">
        <f t="shared" si="0"/>
        <v>0</v>
      </c>
    </row>
    <row r="21" spans="2:22" ht="24" customHeight="1" x14ac:dyDescent="0.25">
      <c r="B21" s="265">
        <v>16</v>
      </c>
      <c r="C21" s="269" t="str">
        <f>IF(Inventory!B23="","",Inventory!B23)</f>
        <v/>
      </c>
      <c r="D21" s="270" t="str">
        <f>IF(Inventory!C23="","",Inventory!C23)</f>
        <v/>
      </c>
      <c r="E21" s="295" t="str">
        <f>IF(Inventory!D23="","",Inventory!D23)&amp;" "&amp;IF(Inventory!E23="","",Inventory!E23)</f>
        <v xml:space="preserve"> </v>
      </c>
      <c r="F21" s="293" t="str">
        <f>IF(Inventory!G23="","",Inventory!G23)</f>
        <v/>
      </c>
      <c r="G21" s="271" t="str">
        <f>IF(Inventory!I23="","",Inventory!I23)</f>
        <v/>
      </c>
      <c r="H21" s="291" t="str">
        <f>IF(Inventory!H23="","",Inventory!H23)</f>
        <v/>
      </c>
      <c r="I21" s="271" t="str">
        <f>IF(Inventory!J23="","",Inventory!J23)</f>
        <v/>
      </c>
      <c r="J21" s="271" t="str">
        <f>IF(Inventory!K23="","",Inventory!K23)</f>
        <v/>
      </c>
      <c r="K21" s="272" t="str">
        <f>IF(Inventory!L23="","",Inventory!L23)</f>
        <v/>
      </c>
      <c r="L21" s="273" t="str">
        <f>IF(Inventory!M23="","",Inventory!M23)&amp;" "&amp;IF(Inventory!N23="","",Inventory!N23)</f>
        <v xml:space="preserve"> </v>
      </c>
      <c r="M21" s="273" t="str">
        <f>IF(Inventory!O23="","",Inventory!O23)</f>
        <v/>
      </c>
      <c r="N21" s="273" t="str">
        <f>IF(Inventory!Q23="","",Inventory!Q23)</f>
        <v/>
      </c>
      <c r="O21" s="273" t="str">
        <f>IF(Inventory!S23="","",Inventory!S23)</f>
        <v/>
      </c>
      <c r="P21" s="289" t="str">
        <f>IF(Inventory!R23="","",Inventory!R23)</f>
        <v/>
      </c>
      <c r="Q21" s="273" t="str">
        <f>IF(Inventory!V23="","",Inventory!V23)</f>
        <v/>
      </c>
      <c r="R21" s="273" t="str">
        <f>IF(Inventory!W23="","",Inventory!W23)</f>
        <v/>
      </c>
      <c r="S21" s="274" t="str">
        <f>IF(Inventory!AF23="","",Inventory!AF23)</f>
        <v/>
      </c>
      <c r="T21" s="271" t="str">
        <f>IF(Inventory!Y23="","",Inventory!Y23)</f>
        <v/>
      </c>
      <c r="U21" s="272" t="str">
        <f>IF(Inventory!Z23="","",Inventory!Z23)</f>
        <v/>
      </c>
      <c r="V21" s="282">
        <f t="shared" si="0"/>
        <v>0</v>
      </c>
    </row>
    <row r="22" spans="2:22" ht="24" customHeight="1" x14ac:dyDescent="0.25">
      <c r="B22" s="266">
        <v>17</v>
      </c>
      <c r="C22" s="269" t="str">
        <f>IF(Inventory!B24="","",Inventory!B24)</f>
        <v/>
      </c>
      <c r="D22" s="270" t="str">
        <f>IF(Inventory!C24="","",Inventory!C24)</f>
        <v/>
      </c>
      <c r="E22" s="295" t="str">
        <f>IF(Inventory!D24="","",Inventory!D24)&amp;" "&amp;IF(Inventory!E24="","",Inventory!E24)</f>
        <v xml:space="preserve"> </v>
      </c>
      <c r="F22" s="293" t="str">
        <f>IF(Inventory!G24="","",Inventory!G24)</f>
        <v/>
      </c>
      <c r="G22" s="271" t="str">
        <f>IF(Inventory!I24="","",Inventory!I24)</f>
        <v/>
      </c>
      <c r="H22" s="291" t="str">
        <f>IF(Inventory!H24="","",Inventory!H24)</f>
        <v/>
      </c>
      <c r="I22" s="271" t="str">
        <f>IF(Inventory!J24="","",Inventory!J24)</f>
        <v/>
      </c>
      <c r="J22" s="271" t="str">
        <f>IF(Inventory!K24="","",Inventory!K24)</f>
        <v/>
      </c>
      <c r="K22" s="272" t="str">
        <f>IF(Inventory!L24="","",Inventory!L24)</f>
        <v/>
      </c>
      <c r="L22" s="273" t="str">
        <f>IF(Inventory!M24="","",Inventory!M24)&amp;" "&amp;IF(Inventory!N24="","",Inventory!N24)</f>
        <v xml:space="preserve"> </v>
      </c>
      <c r="M22" s="273" t="str">
        <f>IF(Inventory!O24="","",Inventory!O24)</f>
        <v/>
      </c>
      <c r="N22" s="273" t="str">
        <f>IF(Inventory!Q24="","",Inventory!Q24)</f>
        <v/>
      </c>
      <c r="O22" s="273" t="str">
        <f>IF(Inventory!S24="","",Inventory!S24)</f>
        <v/>
      </c>
      <c r="P22" s="289" t="str">
        <f>IF(Inventory!R24="","",Inventory!R24)</f>
        <v/>
      </c>
      <c r="Q22" s="273" t="str">
        <f>IF(Inventory!V24="","",Inventory!V24)</f>
        <v/>
      </c>
      <c r="R22" s="273" t="str">
        <f>IF(Inventory!W24="","",Inventory!W24)</f>
        <v/>
      </c>
      <c r="S22" s="274" t="str">
        <f>IF(Inventory!AF24="","",Inventory!AF24)</f>
        <v/>
      </c>
      <c r="T22" s="271" t="str">
        <f>IF(Inventory!Y24="","",Inventory!Y24)</f>
        <v/>
      </c>
      <c r="U22" s="272" t="str">
        <f>IF(Inventory!Z24="","",Inventory!Z24)</f>
        <v/>
      </c>
      <c r="V22" s="282">
        <f t="shared" si="0"/>
        <v>0</v>
      </c>
    </row>
    <row r="23" spans="2:22" ht="24" customHeight="1" x14ac:dyDescent="0.25">
      <c r="B23" s="265">
        <v>18</v>
      </c>
      <c r="C23" s="269" t="str">
        <f>IF(Inventory!B25="","",Inventory!B25)</f>
        <v/>
      </c>
      <c r="D23" s="270" t="str">
        <f>IF(Inventory!C25="","",Inventory!C25)</f>
        <v/>
      </c>
      <c r="E23" s="295" t="str">
        <f>IF(Inventory!D25="","",Inventory!D25)&amp;" "&amp;IF(Inventory!E25="","",Inventory!E25)</f>
        <v xml:space="preserve"> </v>
      </c>
      <c r="F23" s="293" t="str">
        <f>IF(Inventory!G25="","",Inventory!G25)</f>
        <v/>
      </c>
      <c r="G23" s="271" t="str">
        <f>IF(Inventory!I25="","",Inventory!I25)</f>
        <v/>
      </c>
      <c r="H23" s="291" t="str">
        <f>IF(Inventory!H25="","",Inventory!H25)</f>
        <v/>
      </c>
      <c r="I23" s="271" t="str">
        <f>IF(Inventory!J25="","",Inventory!J25)</f>
        <v/>
      </c>
      <c r="J23" s="271" t="str">
        <f>IF(Inventory!K25="","",Inventory!K25)</f>
        <v/>
      </c>
      <c r="K23" s="272" t="str">
        <f>IF(Inventory!L25="","",Inventory!L25)</f>
        <v/>
      </c>
      <c r="L23" s="273" t="str">
        <f>IF(Inventory!M25="","",Inventory!M25)&amp;" "&amp;IF(Inventory!N25="","",Inventory!N25)</f>
        <v xml:space="preserve"> </v>
      </c>
      <c r="M23" s="273" t="str">
        <f>IF(Inventory!O25="","",Inventory!O25)</f>
        <v/>
      </c>
      <c r="N23" s="273" t="str">
        <f>IF(Inventory!Q25="","",Inventory!Q25)</f>
        <v/>
      </c>
      <c r="O23" s="273" t="str">
        <f>IF(Inventory!S25="","",Inventory!S25)</f>
        <v/>
      </c>
      <c r="P23" s="289" t="str">
        <f>IF(Inventory!R25="","",Inventory!R25)</f>
        <v/>
      </c>
      <c r="Q23" s="273" t="str">
        <f>IF(Inventory!V25="","",Inventory!V25)</f>
        <v/>
      </c>
      <c r="R23" s="273" t="str">
        <f>IF(Inventory!W25="","",Inventory!W25)</f>
        <v/>
      </c>
      <c r="S23" s="274" t="str">
        <f>IF(Inventory!AF25="","",Inventory!AF25)</f>
        <v/>
      </c>
      <c r="T23" s="271" t="str">
        <f>IF(Inventory!Y25="","",Inventory!Y25)</f>
        <v/>
      </c>
      <c r="U23" s="272" t="str">
        <f>IF(Inventory!Z25="","",Inventory!Z25)</f>
        <v/>
      </c>
      <c r="V23" s="282">
        <f t="shared" si="0"/>
        <v>0</v>
      </c>
    </row>
    <row r="24" spans="2:22" ht="24" customHeight="1" x14ac:dyDescent="0.25">
      <c r="B24" s="265">
        <v>19</v>
      </c>
      <c r="C24" s="269" t="str">
        <f>IF(Inventory!B26="","",Inventory!B26)</f>
        <v/>
      </c>
      <c r="D24" s="270" t="str">
        <f>IF(Inventory!C26="","",Inventory!C26)</f>
        <v/>
      </c>
      <c r="E24" s="295" t="str">
        <f>IF(Inventory!D26="","",Inventory!D26)&amp;" "&amp;IF(Inventory!E26="","",Inventory!E26)</f>
        <v xml:space="preserve"> </v>
      </c>
      <c r="F24" s="293" t="str">
        <f>IF(Inventory!G26="","",Inventory!G26)</f>
        <v/>
      </c>
      <c r="G24" s="271" t="str">
        <f>IF(Inventory!I26="","",Inventory!I26)</f>
        <v/>
      </c>
      <c r="H24" s="291" t="str">
        <f>IF(Inventory!H26="","",Inventory!H26)</f>
        <v/>
      </c>
      <c r="I24" s="271" t="str">
        <f>IF(Inventory!J26="","",Inventory!J26)</f>
        <v/>
      </c>
      <c r="J24" s="271" t="str">
        <f>IF(Inventory!K26="","",Inventory!K26)</f>
        <v/>
      </c>
      <c r="K24" s="272" t="str">
        <f>IF(Inventory!L26="","",Inventory!L26)</f>
        <v/>
      </c>
      <c r="L24" s="273" t="str">
        <f>IF(Inventory!M26="","",Inventory!M26)&amp;" "&amp;IF(Inventory!N26="","",Inventory!N26)</f>
        <v xml:space="preserve"> </v>
      </c>
      <c r="M24" s="273" t="str">
        <f>IF(Inventory!O26="","",Inventory!O26)</f>
        <v/>
      </c>
      <c r="N24" s="273" t="str">
        <f>IF(Inventory!Q26="","",Inventory!Q26)</f>
        <v/>
      </c>
      <c r="O24" s="273" t="str">
        <f>IF(Inventory!S26="","",Inventory!S26)</f>
        <v/>
      </c>
      <c r="P24" s="289" t="str">
        <f>IF(Inventory!R26="","",Inventory!R26)</f>
        <v/>
      </c>
      <c r="Q24" s="273" t="str">
        <f>IF(Inventory!V26="","",Inventory!V26)</f>
        <v/>
      </c>
      <c r="R24" s="273" t="str">
        <f>IF(Inventory!W26="","",Inventory!W26)</f>
        <v/>
      </c>
      <c r="S24" s="274" t="str">
        <f>IF(Inventory!AF26="","",Inventory!AF26)</f>
        <v/>
      </c>
      <c r="T24" s="271" t="str">
        <f>IF(Inventory!Y26="","",Inventory!Y26)</f>
        <v/>
      </c>
      <c r="U24" s="272" t="str">
        <f>IF(Inventory!Z26="","",Inventory!Z26)</f>
        <v/>
      </c>
      <c r="V24" s="282">
        <f t="shared" si="0"/>
        <v>0</v>
      </c>
    </row>
    <row r="25" spans="2:22" ht="24" customHeight="1" x14ac:dyDescent="0.25">
      <c r="B25" s="266">
        <v>20</v>
      </c>
      <c r="C25" s="269" t="str">
        <f>IF(Inventory!B27="","",Inventory!B27)</f>
        <v/>
      </c>
      <c r="D25" s="270" t="str">
        <f>IF(Inventory!C27="","",Inventory!C27)</f>
        <v/>
      </c>
      <c r="E25" s="295" t="str">
        <f>IF(Inventory!D27="","",Inventory!D27)&amp;" "&amp;IF(Inventory!E27="","",Inventory!E27)</f>
        <v xml:space="preserve"> </v>
      </c>
      <c r="F25" s="293" t="str">
        <f>IF(Inventory!G27="","",Inventory!G27)</f>
        <v/>
      </c>
      <c r="G25" s="271" t="str">
        <f>IF(Inventory!I27="","",Inventory!I27)</f>
        <v/>
      </c>
      <c r="H25" s="291" t="str">
        <f>IF(Inventory!H27="","",Inventory!H27)</f>
        <v/>
      </c>
      <c r="I25" s="271" t="str">
        <f>IF(Inventory!J27="","",Inventory!J27)</f>
        <v/>
      </c>
      <c r="J25" s="271" t="str">
        <f>IF(Inventory!K27="","",Inventory!K27)</f>
        <v/>
      </c>
      <c r="K25" s="272" t="str">
        <f>IF(Inventory!L27="","",Inventory!L27)</f>
        <v/>
      </c>
      <c r="L25" s="273" t="str">
        <f>IF(Inventory!M27="","",Inventory!M27)&amp;" "&amp;IF(Inventory!N27="","",Inventory!N27)</f>
        <v xml:space="preserve"> </v>
      </c>
      <c r="M25" s="273" t="str">
        <f>IF(Inventory!O27="","",Inventory!O27)</f>
        <v/>
      </c>
      <c r="N25" s="273" t="str">
        <f>IF(Inventory!Q27="","",Inventory!Q27)</f>
        <v/>
      </c>
      <c r="O25" s="273" t="str">
        <f>IF(Inventory!S27="","",Inventory!S27)</f>
        <v/>
      </c>
      <c r="P25" s="289" t="str">
        <f>IF(Inventory!R27="","",Inventory!R27)</f>
        <v/>
      </c>
      <c r="Q25" s="273" t="str">
        <f>IF(Inventory!V27="","",Inventory!V27)</f>
        <v/>
      </c>
      <c r="R25" s="273" t="str">
        <f>IF(Inventory!W27="","",Inventory!W27)</f>
        <v/>
      </c>
      <c r="S25" s="274" t="str">
        <f>IF(Inventory!AF27="","",Inventory!AF27)</f>
        <v/>
      </c>
      <c r="T25" s="271" t="str">
        <f>IF(Inventory!Y27="","",Inventory!Y27)</f>
        <v/>
      </c>
      <c r="U25" s="272" t="str">
        <f>IF(Inventory!Z27="","",Inventory!Z27)</f>
        <v/>
      </c>
      <c r="V25" s="282">
        <f t="shared" si="0"/>
        <v>0</v>
      </c>
    </row>
    <row r="26" spans="2:22" ht="24" customHeight="1" x14ac:dyDescent="0.25">
      <c r="B26" s="265">
        <v>21</v>
      </c>
      <c r="C26" s="269" t="str">
        <f>IF(Inventory!B28="","",Inventory!B28)</f>
        <v/>
      </c>
      <c r="D26" s="270" t="str">
        <f>IF(Inventory!C28="","",Inventory!C28)</f>
        <v/>
      </c>
      <c r="E26" s="295" t="str">
        <f>IF(Inventory!D28="","",Inventory!D28)&amp;" "&amp;IF(Inventory!E28="","",Inventory!E28)</f>
        <v xml:space="preserve"> </v>
      </c>
      <c r="F26" s="293" t="str">
        <f>IF(Inventory!G28="","",Inventory!G28)</f>
        <v/>
      </c>
      <c r="G26" s="271" t="str">
        <f>IF(Inventory!I28="","",Inventory!I28)</f>
        <v/>
      </c>
      <c r="H26" s="291" t="str">
        <f>IF(Inventory!H28="","",Inventory!H28)</f>
        <v/>
      </c>
      <c r="I26" s="271" t="str">
        <f>IF(Inventory!J28="","",Inventory!J28)</f>
        <v/>
      </c>
      <c r="J26" s="271" t="str">
        <f>IF(Inventory!K28="","",Inventory!K28)</f>
        <v/>
      </c>
      <c r="K26" s="272" t="str">
        <f>IF(Inventory!L28="","",Inventory!L28)</f>
        <v/>
      </c>
      <c r="L26" s="273" t="str">
        <f>IF(Inventory!M28="","",Inventory!M28)&amp;" "&amp;IF(Inventory!N28="","",Inventory!N28)</f>
        <v xml:space="preserve"> </v>
      </c>
      <c r="M26" s="273" t="str">
        <f>IF(Inventory!O28="","",Inventory!O28)</f>
        <v/>
      </c>
      <c r="N26" s="273" t="str">
        <f>IF(Inventory!Q28="","",Inventory!Q28)</f>
        <v/>
      </c>
      <c r="O26" s="273" t="str">
        <f>IF(Inventory!S28="","",Inventory!S28)</f>
        <v/>
      </c>
      <c r="P26" s="289" t="str">
        <f>IF(Inventory!R28="","",Inventory!R28)</f>
        <v/>
      </c>
      <c r="Q26" s="273" t="str">
        <f>IF(Inventory!V28="","",Inventory!V28)</f>
        <v/>
      </c>
      <c r="R26" s="273" t="str">
        <f>IF(Inventory!W28="","",Inventory!W28)</f>
        <v/>
      </c>
      <c r="S26" s="274" t="str">
        <f>IF(Inventory!AF28="","",Inventory!AF28)</f>
        <v/>
      </c>
      <c r="T26" s="271" t="str">
        <f>IF(Inventory!Y28="","",Inventory!Y28)</f>
        <v/>
      </c>
      <c r="U26" s="272" t="str">
        <f>IF(Inventory!Z28="","",Inventory!Z28)</f>
        <v/>
      </c>
      <c r="V26" s="282">
        <f t="shared" si="0"/>
        <v>0</v>
      </c>
    </row>
    <row r="27" spans="2:22" ht="24" customHeight="1" x14ac:dyDescent="0.25">
      <c r="B27" s="265">
        <v>22</v>
      </c>
      <c r="C27" s="269" t="str">
        <f>IF(Inventory!B29="","",Inventory!B29)</f>
        <v/>
      </c>
      <c r="D27" s="270" t="str">
        <f>IF(Inventory!C29="","",Inventory!C29)</f>
        <v/>
      </c>
      <c r="E27" s="295" t="str">
        <f>IF(Inventory!D29="","",Inventory!D29)&amp;" "&amp;IF(Inventory!E29="","",Inventory!E29)</f>
        <v xml:space="preserve"> </v>
      </c>
      <c r="F27" s="293" t="str">
        <f>IF(Inventory!G29="","",Inventory!G29)</f>
        <v/>
      </c>
      <c r="G27" s="271" t="str">
        <f>IF(Inventory!I29="","",Inventory!I29)</f>
        <v/>
      </c>
      <c r="H27" s="291" t="str">
        <f>IF(Inventory!H29="","",Inventory!H29)</f>
        <v/>
      </c>
      <c r="I27" s="271" t="str">
        <f>IF(Inventory!J29="","",Inventory!J29)</f>
        <v/>
      </c>
      <c r="J27" s="271" t="str">
        <f>IF(Inventory!K29="","",Inventory!K29)</f>
        <v/>
      </c>
      <c r="K27" s="272" t="str">
        <f>IF(Inventory!L29="","",Inventory!L29)</f>
        <v/>
      </c>
      <c r="L27" s="273" t="str">
        <f>IF(Inventory!M29="","",Inventory!M29)&amp;" "&amp;IF(Inventory!N29="","",Inventory!N29)</f>
        <v xml:space="preserve"> </v>
      </c>
      <c r="M27" s="273" t="str">
        <f>IF(Inventory!O29="","",Inventory!O29)</f>
        <v/>
      </c>
      <c r="N27" s="273" t="str">
        <f>IF(Inventory!Q29="","",Inventory!Q29)</f>
        <v/>
      </c>
      <c r="O27" s="273" t="str">
        <f>IF(Inventory!S29="","",Inventory!S29)</f>
        <v/>
      </c>
      <c r="P27" s="289" t="str">
        <f>IF(Inventory!R29="","",Inventory!R29)</f>
        <v/>
      </c>
      <c r="Q27" s="273" t="str">
        <f>IF(Inventory!V29="","",Inventory!V29)</f>
        <v/>
      </c>
      <c r="R27" s="273" t="str">
        <f>IF(Inventory!W29="","",Inventory!W29)</f>
        <v/>
      </c>
      <c r="S27" s="274" t="str">
        <f>IF(Inventory!AF29="","",Inventory!AF29)</f>
        <v/>
      </c>
      <c r="T27" s="271" t="str">
        <f>IF(Inventory!Y29="","",Inventory!Y29)</f>
        <v/>
      </c>
      <c r="U27" s="272" t="str">
        <f>IF(Inventory!Z29="","",Inventory!Z29)</f>
        <v/>
      </c>
      <c r="V27" s="282">
        <f t="shared" si="0"/>
        <v>0</v>
      </c>
    </row>
    <row r="28" spans="2:22" ht="24" customHeight="1" x14ac:dyDescent="0.25">
      <c r="B28" s="266">
        <v>23</v>
      </c>
      <c r="C28" s="269" t="str">
        <f>IF(Inventory!B30="","",Inventory!B30)</f>
        <v/>
      </c>
      <c r="D28" s="270" t="str">
        <f>IF(Inventory!C30="","",Inventory!C30)</f>
        <v/>
      </c>
      <c r="E28" s="295" t="str">
        <f>IF(Inventory!D30="","",Inventory!D30)&amp;" "&amp;IF(Inventory!E30="","",Inventory!E30)</f>
        <v xml:space="preserve"> </v>
      </c>
      <c r="F28" s="293" t="str">
        <f>IF(Inventory!G30="","",Inventory!G30)</f>
        <v/>
      </c>
      <c r="G28" s="271" t="str">
        <f>IF(Inventory!I30="","",Inventory!I30)</f>
        <v/>
      </c>
      <c r="H28" s="291" t="str">
        <f>IF(Inventory!H30="","",Inventory!H30)</f>
        <v/>
      </c>
      <c r="I28" s="271" t="str">
        <f>IF(Inventory!J30="","",Inventory!J30)</f>
        <v/>
      </c>
      <c r="J28" s="271" t="str">
        <f>IF(Inventory!K30="","",Inventory!K30)</f>
        <v/>
      </c>
      <c r="K28" s="272" t="str">
        <f>IF(Inventory!L30="","",Inventory!L30)</f>
        <v/>
      </c>
      <c r="L28" s="273" t="str">
        <f>IF(Inventory!M30="","",Inventory!M30)&amp;" "&amp;IF(Inventory!N30="","",Inventory!N30)</f>
        <v xml:space="preserve"> </v>
      </c>
      <c r="M28" s="273" t="str">
        <f>IF(Inventory!O30="","",Inventory!O30)</f>
        <v/>
      </c>
      <c r="N28" s="273" t="str">
        <f>IF(Inventory!Q30="","",Inventory!Q30)</f>
        <v/>
      </c>
      <c r="O28" s="273" t="str">
        <f>IF(Inventory!S30="","",Inventory!S30)</f>
        <v/>
      </c>
      <c r="P28" s="289" t="str">
        <f>IF(Inventory!R30="","",Inventory!R30)</f>
        <v/>
      </c>
      <c r="Q28" s="273" t="str">
        <f>IF(Inventory!V30="","",Inventory!V30)</f>
        <v/>
      </c>
      <c r="R28" s="273" t="str">
        <f>IF(Inventory!W30="","",Inventory!W30)</f>
        <v/>
      </c>
      <c r="S28" s="274" t="str">
        <f>IF(Inventory!AF30="","",Inventory!AF30)</f>
        <v/>
      </c>
      <c r="T28" s="271" t="str">
        <f>IF(Inventory!Y30="","",Inventory!Y30)</f>
        <v/>
      </c>
      <c r="U28" s="272" t="str">
        <f>IF(Inventory!Z30="","",Inventory!Z30)</f>
        <v/>
      </c>
      <c r="V28" s="282">
        <f t="shared" si="0"/>
        <v>0</v>
      </c>
    </row>
    <row r="29" spans="2:22" ht="24" customHeight="1" x14ac:dyDescent="0.25">
      <c r="B29" s="265">
        <v>24</v>
      </c>
      <c r="C29" s="269" t="str">
        <f>IF(Inventory!B31="","",Inventory!B31)</f>
        <v/>
      </c>
      <c r="D29" s="270" t="str">
        <f>IF(Inventory!C31="","",Inventory!C31)</f>
        <v/>
      </c>
      <c r="E29" s="295" t="str">
        <f>IF(Inventory!D31="","",Inventory!D31)&amp;" "&amp;IF(Inventory!E31="","",Inventory!E31)</f>
        <v xml:space="preserve"> </v>
      </c>
      <c r="F29" s="293" t="str">
        <f>IF(Inventory!G31="","",Inventory!G31)</f>
        <v/>
      </c>
      <c r="G29" s="271" t="str">
        <f>IF(Inventory!I31="","",Inventory!I31)</f>
        <v/>
      </c>
      <c r="H29" s="291" t="str">
        <f>IF(Inventory!H31="","",Inventory!H31)</f>
        <v/>
      </c>
      <c r="I29" s="271" t="str">
        <f>IF(Inventory!J31="","",Inventory!J31)</f>
        <v/>
      </c>
      <c r="J29" s="271" t="str">
        <f>IF(Inventory!K31="","",Inventory!K31)</f>
        <v/>
      </c>
      <c r="K29" s="272" t="str">
        <f>IF(Inventory!L31="","",Inventory!L31)</f>
        <v/>
      </c>
      <c r="L29" s="273" t="str">
        <f>IF(Inventory!M31="","",Inventory!M31)&amp;" "&amp;IF(Inventory!N31="","",Inventory!N31)</f>
        <v xml:space="preserve"> </v>
      </c>
      <c r="M29" s="273" t="str">
        <f>IF(Inventory!O31="","",Inventory!O31)</f>
        <v/>
      </c>
      <c r="N29" s="273" t="str">
        <f>IF(Inventory!Q31="","",Inventory!Q31)</f>
        <v/>
      </c>
      <c r="O29" s="273" t="str">
        <f>IF(Inventory!S31="","",Inventory!S31)</f>
        <v/>
      </c>
      <c r="P29" s="289" t="str">
        <f>IF(Inventory!R31="","",Inventory!R31)</f>
        <v/>
      </c>
      <c r="Q29" s="273" t="str">
        <f>IF(Inventory!V31="","",Inventory!V31)</f>
        <v/>
      </c>
      <c r="R29" s="273" t="str">
        <f>IF(Inventory!W31="","",Inventory!W31)</f>
        <v/>
      </c>
      <c r="S29" s="274" t="str">
        <f>IF(Inventory!AF31="","",Inventory!AF31)</f>
        <v/>
      </c>
      <c r="T29" s="271" t="str">
        <f>IF(Inventory!Y31="","",Inventory!Y31)</f>
        <v/>
      </c>
      <c r="U29" s="272" t="str">
        <f>IF(Inventory!Z31="","",Inventory!Z31)</f>
        <v/>
      </c>
      <c r="V29" s="282">
        <f t="shared" si="0"/>
        <v>0</v>
      </c>
    </row>
    <row r="30" spans="2:22" ht="24" customHeight="1" thickBot="1" x14ac:dyDescent="0.3">
      <c r="B30" s="265">
        <v>25</v>
      </c>
      <c r="C30" s="275" t="str">
        <f>IF(Inventory!B32="","",Inventory!B32)</f>
        <v/>
      </c>
      <c r="D30" s="276" t="str">
        <f>IF(Inventory!C32="","",Inventory!C32)</f>
        <v/>
      </c>
      <c r="E30" s="295" t="str">
        <f>IF(Inventory!D32="","",Inventory!D32)&amp;" "&amp;IF(Inventory!E32="","",Inventory!E32)</f>
        <v xml:space="preserve"> </v>
      </c>
      <c r="F30" s="296" t="str">
        <f>IF(Inventory!G32="","",Inventory!G32)</f>
        <v/>
      </c>
      <c r="G30" s="277" t="str">
        <f>IF(Inventory!I32="","",Inventory!I32)</f>
        <v/>
      </c>
      <c r="H30" s="292" t="str">
        <f>IF(Inventory!H32="","",Inventory!H32)</f>
        <v/>
      </c>
      <c r="I30" s="277" t="str">
        <f>IF(Inventory!J32="","",Inventory!J32)</f>
        <v/>
      </c>
      <c r="J30" s="277" t="str">
        <f>IF(Inventory!K32="","",Inventory!K32)</f>
        <v/>
      </c>
      <c r="K30" s="278" t="str">
        <f>IF(Inventory!L32="","",Inventory!L32)</f>
        <v/>
      </c>
      <c r="L30" s="273" t="str">
        <f>IF(Inventory!M32="","",Inventory!M32)&amp;" "&amp;IF(Inventory!N32="","",Inventory!N32)</f>
        <v xml:space="preserve"> </v>
      </c>
      <c r="M30" s="279" t="str">
        <f>IF(Inventory!O32="","",Inventory!O32)</f>
        <v/>
      </c>
      <c r="N30" s="279" t="str">
        <f>IF(Inventory!Q32="","",Inventory!Q32)</f>
        <v/>
      </c>
      <c r="O30" s="279" t="str">
        <f>IF(Inventory!S32="","",Inventory!S32)</f>
        <v/>
      </c>
      <c r="P30" s="290" t="str">
        <f>IF(Inventory!R32="","",Inventory!R32)</f>
        <v/>
      </c>
      <c r="Q30" s="279" t="str">
        <f>IF(Inventory!V32="","",Inventory!V32)</f>
        <v/>
      </c>
      <c r="R30" s="279" t="str">
        <f>IF(Inventory!W32="","",Inventory!W32)</f>
        <v/>
      </c>
      <c r="S30" s="280" t="str">
        <f>IF(Inventory!AF32="","",Inventory!AF32)</f>
        <v/>
      </c>
      <c r="T30" s="277" t="str">
        <f>IF(Inventory!Y32="","",Inventory!Y32)</f>
        <v/>
      </c>
      <c r="U30" s="278" t="str">
        <f>IF(Inventory!Z32="","",Inventory!Z32)</f>
        <v/>
      </c>
      <c r="V30" s="282">
        <f t="shared" si="0"/>
        <v>0</v>
      </c>
    </row>
    <row r="31" spans="2:22" hidden="1" x14ac:dyDescent="0.25">
      <c r="C31" s="253"/>
      <c r="D31" s="253"/>
      <c r="E31" s="253"/>
      <c r="F31" s="253"/>
      <c r="G31" s="253"/>
      <c r="H31" s="253"/>
      <c r="I31" s="253"/>
      <c r="J31" s="253"/>
      <c r="K31" s="253"/>
      <c r="L31" s="253"/>
      <c r="M31" s="253"/>
      <c r="N31" s="253"/>
      <c r="O31" s="253"/>
      <c r="P31" s="253"/>
      <c r="Q31" s="253"/>
      <c r="R31" s="253"/>
      <c r="S31" s="253"/>
      <c r="T31" s="253"/>
      <c r="U31" s="282">
        <f>SUM(V6:V30)</f>
        <v>0</v>
      </c>
    </row>
    <row r="32" spans="2:22" hidden="1" x14ac:dyDescent="0.25">
      <c r="C32" s="253"/>
      <c r="D32" s="253"/>
      <c r="E32" s="253"/>
      <c r="F32" s="253"/>
      <c r="G32" s="253"/>
      <c r="H32" s="253"/>
      <c r="I32" s="253"/>
      <c r="J32" s="253"/>
      <c r="K32" s="253"/>
      <c r="L32" s="253"/>
      <c r="M32" s="253"/>
      <c r="N32" s="253"/>
      <c r="O32" s="253"/>
      <c r="P32" s="253"/>
      <c r="Q32" s="253"/>
      <c r="R32" s="253"/>
      <c r="S32" s="253"/>
      <c r="T32" s="253"/>
      <c r="U32" s="253"/>
    </row>
    <row r="33" spans="3:21" hidden="1" x14ac:dyDescent="0.25">
      <c r="C33" s="253"/>
      <c r="D33" s="253"/>
      <c r="E33" s="253"/>
      <c r="F33" s="253"/>
      <c r="G33" s="253"/>
      <c r="H33" s="253"/>
      <c r="I33" s="253"/>
      <c r="J33" s="253"/>
      <c r="K33" s="253"/>
      <c r="L33" s="253"/>
      <c r="M33" s="253"/>
      <c r="N33" s="253"/>
      <c r="O33" s="253"/>
      <c r="P33" s="253"/>
      <c r="Q33" s="253"/>
      <c r="R33" s="253"/>
      <c r="S33" s="253"/>
      <c r="T33" s="253"/>
      <c r="U33" s="253"/>
    </row>
    <row r="34" spans="3:21" hidden="1" x14ac:dyDescent="0.25">
      <c r="C34" s="253"/>
      <c r="D34" s="253"/>
      <c r="E34" s="253"/>
      <c r="F34" s="253"/>
      <c r="G34" s="253"/>
      <c r="H34" s="253"/>
      <c r="I34" s="253"/>
      <c r="J34" s="253"/>
      <c r="K34" s="253"/>
      <c r="L34" s="253"/>
      <c r="M34" s="253"/>
      <c r="N34" s="253"/>
      <c r="O34" s="253"/>
      <c r="P34" s="253"/>
      <c r="Q34" s="253"/>
      <c r="R34" s="253"/>
      <c r="S34" s="253"/>
      <c r="T34" s="253"/>
      <c r="U34" s="253"/>
    </row>
    <row r="35" spans="3:21" hidden="1" x14ac:dyDescent="0.25">
      <c r="C35" s="253"/>
      <c r="D35" s="253"/>
      <c r="E35" s="253"/>
      <c r="F35" s="253"/>
      <c r="G35" s="253"/>
      <c r="H35" s="253"/>
      <c r="I35" s="253"/>
      <c r="J35" s="253"/>
      <c r="K35" s="253"/>
      <c r="L35" s="253"/>
      <c r="M35" s="253"/>
      <c r="N35" s="253"/>
      <c r="O35" s="253"/>
      <c r="P35" s="253"/>
      <c r="Q35" s="253"/>
      <c r="R35" s="253"/>
      <c r="S35" s="253"/>
      <c r="T35" s="253"/>
      <c r="U35" s="253"/>
    </row>
    <row r="36" spans="3:21" hidden="1" x14ac:dyDescent="0.25">
      <c r="C36" s="253"/>
      <c r="D36" s="253"/>
      <c r="E36" s="253"/>
      <c r="F36" s="253"/>
      <c r="G36" s="253"/>
      <c r="H36" s="253"/>
      <c r="I36" s="253"/>
      <c r="J36" s="253"/>
      <c r="K36" s="253"/>
      <c r="L36" s="253"/>
      <c r="M36" s="253"/>
      <c r="N36" s="253"/>
      <c r="O36" s="253"/>
      <c r="P36" s="253"/>
      <c r="Q36" s="253"/>
      <c r="R36" s="253"/>
      <c r="S36" s="253"/>
      <c r="T36" s="253"/>
      <c r="U36" s="253"/>
    </row>
    <row r="37" spans="3:21" hidden="1" x14ac:dyDescent="0.25">
      <c r="C37" s="253"/>
      <c r="D37" s="253"/>
      <c r="E37" s="253"/>
      <c r="F37" s="253"/>
      <c r="G37" s="253"/>
      <c r="H37" s="253"/>
      <c r="I37" s="253"/>
      <c r="J37" s="253"/>
      <c r="K37" s="253"/>
      <c r="L37" s="253"/>
      <c r="M37" s="253"/>
      <c r="N37" s="253"/>
      <c r="O37" s="253"/>
      <c r="P37" s="253"/>
      <c r="Q37" s="253"/>
      <c r="R37" s="253"/>
      <c r="S37" s="253"/>
      <c r="T37" s="253"/>
      <c r="U37" s="253"/>
    </row>
    <row r="38" spans="3:21" hidden="1" x14ac:dyDescent="0.25">
      <c r="C38" s="253"/>
      <c r="D38" s="253"/>
      <c r="E38" s="253"/>
      <c r="F38" s="253"/>
      <c r="G38" s="253"/>
      <c r="H38" s="253"/>
      <c r="I38" s="253"/>
      <c r="J38" s="253"/>
      <c r="K38" s="253"/>
      <c r="L38" s="253"/>
      <c r="M38" s="253"/>
      <c r="N38" s="253"/>
      <c r="O38" s="253"/>
      <c r="P38" s="253"/>
      <c r="Q38" s="253"/>
      <c r="R38" s="253"/>
      <c r="S38" s="253"/>
      <c r="T38" s="253"/>
      <c r="U38" s="253"/>
    </row>
    <row r="39" spans="3:21" hidden="1" x14ac:dyDescent="0.25">
      <c r="C39" s="253"/>
      <c r="D39" s="253"/>
      <c r="E39" s="253"/>
      <c r="F39" s="253"/>
      <c r="G39" s="253"/>
      <c r="H39" s="253"/>
      <c r="I39" s="253"/>
      <c r="J39" s="253"/>
      <c r="K39" s="253"/>
      <c r="L39" s="253"/>
      <c r="M39" s="253"/>
      <c r="N39" s="253"/>
      <c r="O39" s="253"/>
      <c r="P39" s="253"/>
      <c r="Q39" s="253"/>
      <c r="R39" s="253"/>
      <c r="S39" s="253"/>
      <c r="T39" s="253"/>
      <c r="U39" s="253"/>
    </row>
    <row r="40" spans="3:21" hidden="1" x14ac:dyDescent="0.25">
      <c r="C40" s="253"/>
      <c r="D40" s="253"/>
      <c r="E40" s="253"/>
      <c r="F40" s="253"/>
      <c r="G40" s="253"/>
      <c r="H40" s="253"/>
      <c r="I40" s="253"/>
      <c r="J40" s="253"/>
      <c r="K40" s="253"/>
      <c r="L40" s="253"/>
      <c r="M40" s="253"/>
      <c r="N40" s="253"/>
      <c r="O40" s="253"/>
      <c r="P40" s="253"/>
      <c r="Q40" s="253"/>
      <c r="R40" s="253"/>
      <c r="S40" s="253"/>
      <c r="T40" s="253"/>
      <c r="U40" s="253"/>
    </row>
    <row r="41" spans="3:21" hidden="1" x14ac:dyDescent="0.25">
      <c r="C41" s="253"/>
      <c r="D41" s="253"/>
      <c r="E41" s="253"/>
      <c r="F41" s="253"/>
      <c r="G41" s="253"/>
      <c r="H41" s="253"/>
      <c r="I41" s="253"/>
      <c r="J41" s="253"/>
      <c r="K41" s="253"/>
      <c r="L41" s="253"/>
      <c r="M41" s="253"/>
      <c r="N41" s="253"/>
      <c r="O41" s="253"/>
      <c r="P41" s="253"/>
      <c r="Q41" s="253"/>
      <c r="R41" s="253"/>
      <c r="S41" s="253"/>
      <c r="T41" s="253"/>
      <c r="U41" s="253"/>
    </row>
    <row r="42" spans="3:21" hidden="1" x14ac:dyDescent="0.25">
      <c r="C42" s="253"/>
      <c r="D42" s="253"/>
      <c r="E42" s="253"/>
      <c r="F42" s="253"/>
      <c r="G42" s="253"/>
      <c r="H42" s="253"/>
      <c r="I42" s="253"/>
      <c r="J42" s="253"/>
      <c r="K42" s="253"/>
      <c r="L42" s="253"/>
      <c r="M42" s="253"/>
      <c r="N42" s="253"/>
      <c r="O42" s="253"/>
      <c r="P42" s="253"/>
      <c r="Q42" s="253"/>
      <c r="R42" s="253"/>
      <c r="S42" s="253"/>
      <c r="T42" s="253"/>
      <c r="U42" s="253"/>
    </row>
    <row r="43" spans="3:21" hidden="1" x14ac:dyDescent="0.25">
      <c r="C43" s="253"/>
      <c r="D43" s="253"/>
      <c r="E43" s="253"/>
      <c r="F43" s="253"/>
      <c r="G43" s="253"/>
      <c r="H43" s="253"/>
      <c r="I43" s="253"/>
      <c r="J43" s="253"/>
      <c r="K43" s="253"/>
      <c r="L43" s="253"/>
      <c r="M43" s="253"/>
      <c r="N43" s="253"/>
      <c r="O43" s="253"/>
      <c r="P43" s="253"/>
      <c r="Q43" s="253"/>
      <c r="R43" s="253"/>
      <c r="S43" s="253"/>
      <c r="T43" s="253"/>
      <c r="U43" s="253"/>
    </row>
    <row r="44" spans="3:21" hidden="1" x14ac:dyDescent="0.25">
      <c r="C44" s="253"/>
      <c r="D44" s="253"/>
      <c r="E44" s="253"/>
      <c r="F44" s="253"/>
      <c r="G44" s="253"/>
      <c r="H44" s="253"/>
      <c r="I44" s="253"/>
      <c r="J44" s="253"/>
      <c r="K44" s="253"/>
      <c r="L44" s="253"/>
      <c r="M44" s="253"/>
      <c r="N44" s="253"/>
      <c r="O44" s="253"/>
      <c r="P44" s="253"/>
      <c r="Q44" s="253"/>
      <c r="R44" s="253"/>
      <c r="S44" s="253"/>
      <c r="T44" s="253"/>
      <c r="U44" s="253"/>
    </row>
    <row r="45" spans="3:21" hidden="1" x14ac:dyDescent="0.25">
      <c r="C45" s="253"/>
      <c r="D45" s="253"/>
      <c r="E45" s="253"/>
      <c r="F45" s="253"/>
      <c r="G45" s="253"/>
      <c r="H45" s="253"/>
      <c r="I45" s="253"/>
      <c r="J45" s="253"/>
      <c r="K45" s="253"/>
      <c r="L45" s="253"/>
      <c r="M45" s="253"/>
      <c r="N45" s="253"/>
      <c r="O45" s="253"/>
      <c r="P45" s="253"/>
      <c r="Q45" s="253"/>
      <c r="R45" s="253"/>
      <c r="S45" s="253"/>
      <c r="T45" s="253"/>
      <c r="U45" s="253"/>
    </row>
    <row r="46" spans="3:21" hidden="1" x14ac:dyDescent="0.25">
      <c r="C46" s="253"/>
      <c r="D46" s="253"/>
      <c r="E46" s="253"/>
      <c r="F46" s="253"/>
      <c r="G46" s="253"/>
      <c r="H46" s="253"/>
      <c r="I46" s="253"/>
      <c r="J46" s="253"/>
      <c r="K46" s="253"/>
      <c r="L46" s="253"/>
      <c r="M46" s="253"/>
      <c r="N46" s="253"/>
      <c r="O46" s="253"/>
      <c r="P46" s="253"/>
      <c r="Q46" s="253"/>
      <c r="R46" s="253"/>
      <c r="S46" s="253"/>
      <c r="T46" s="253"/>
      <c r="U46" s="253"/>
    </row>
  </sheetData>
  <sheetProtection algorithmName="SHA-512" hashValue="CjBwnEflWM4aa0VtwaED/AM2rE2BTMBZtWy3pIHeAlgcGu99x92RvApn9PlhFJ4GyxSUuQz4dtmp7u5dpYJkjA==" saltValue="Quq4ur9+O61CRbwITRpnbg==" spinCount="100000" sheet="1" objects="1" scenarios="1"/>
  <mergeCells count="18">
    <mergeCell ref="J4:J5"/>
    <mergeCell ref="N4:N5"/>
    <mergeCell ref="C3:C5"/>
    <mergeCell ref="D3:D5"/>
    <mergeCell ref="E4:E5"/>
    <mergeCell ref="G4:H4"/>
    <mergeCell ref="I4:I5"/>
    <mergeCell ref="F4:F5"/>
    <mergeCell ref="K4:K5"/>
    <mergeCell ref="L4:L5"/>
    <mergeCell ref="U4:U5"/>
    <mergeCell ref="Q4:Q5"/>
    <mergeCell ref="R4:R5"/>
    <mergeCell ref="S4:S5"/>
    <mergeCell ref="M1:N1"/>
    <mergeCell ref="O4:P4"/>
    <mergeCell ref="M4:M5"/>
    <mergeCell ref="T4:T5"/>
  </mergeCells>
  <pageMargins left="0.25" right="0.25" top="0.75" bottom="0.75" header="0.3" footer="0.3"/>
  <pageSetup scale="75"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IF('Utility Admin'!$D$2="CPS",CPSInspection,OtherInspection)</xm:f>
          </x14:formula1>
          <xm:sqref>C2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8">
    <tabColor rgb="FF0070C0"/>
  </sheetPr>
  <dimension ref="A1:J75"/>
  <sheetViews>
    <sheetView topLeftCell="C1" zoomScaleNormal="100" workbookViewId="0">
      <selection activeCell="J73" sqref="J73"/>
    </sheetView>
  </sheetViews>
  <sheetFormatPr defaultColWidth="9.140625" defaultRowHeight="15" x14ac:dyDescent="0.25"/>
  <cols>
    <col min="1" max="1" width="1.7109375" style="1" customWidth="1"/>
    <col min="2" max="3" width="25.7109375" style="1" customWidth="1"/>
    <col min="4" max="5" width="50.7109375" style="1" customWidth="1"/>
    <col min="6" max="7" width="20.7109375" style="4" customWidth="1"/>
    <col min="8" max="10" width="22.7109375" style="1" customWidth="1"/>
    <col min="11" max="16384" width="9.140625" style="1"/>
  </cols>
  <sheetData>
    <row r="1" spans="1:10" ht="39.950000000000003" customHeight="1" thickBot="1" x14ac:dyDescent="0.3">
      <c r="A1" s="446">
        <v>1</v>
      </c>
      <c r="B1" s="357" t="s">
        <v>35</v>
      </c>
      <c r="C1" s="358" t="s">
        <v>892</v>
      </c>
      <c r="D1" s="358" t="s">
        <v>893</v>
      </c>
      <c r="E1" s="358" t="s">
        <v>1000</v>
      </c>
      <c r="F1" s="364" t="s">
        <v>1002</v>
      </c>
      <c r="G1" s="365" t="s">
        <v>1003</v>
      </c>
      <c r="H1" s="365" t="s">
        <v>1009</v>
      </c>
      <c r="I1" s="365" t="s">
        <v>1006</v>
      </c>
      <c r="J1" s="365" t="s">
        <v>1007</v>
      </c>
    </row>
    <row r="2" spans="1:10" ht="20.100000000000001" customHeight="1" x14ac:dyDescent="0.25">
      <c r="B2" s="918" t="s">
        <v>894</v>
      </c>
      <c r="C2" s="914" t="s">
        <v>895</v>
      </c>
      <c r="D2" s="906" t="s">
        <v>896</v>
      </c>
      <c r="E2" s="368" t="s">
        <v>897</v>
      </c>
      <c r="F2" s="921" t="s">
        <v>1001</v>
      </c>
      <c r="G2" s="921" t="s">
        <v>1001</v>
      </c>
      <c r="H2" s="910">
        <v>2101</v>
      </c>
      <c r="I2" s="910">
        <v>2173</v>
      </c>
      <c r="J2" s="910">
        <v>3894</v>
      </c>
    </row>
    <row r="3" spans="1:10" ht="20.100000000000001" customHeight="1" x14ac:dyDescent="0.25">
      <c r="B3" s="919"/>
      <c r="C3" s="921"/>
      <c r="D3" s="922"/>
      <c r="E3" s="368" t="s">
        <v>898</v>
      </c>
      <c r="F3" s="921"/>
      <c r="G3" s="921"/>
      <c r="H3" s="929"/>
      <c r="I3" s="929"/>
      <c r="J3" s="929"/>
    </row>
    <row r="4" spans="1:10" ht="20.100000000000001" customHeight="1" thickBot="1" x14ac:dyDescent="0.3">
      <c r="B4" s="919"/>
      <c r="C4" s="915"/>
      <c r="D4" s="922"/>
      <c r="E4" s="369" t="s">
        <v>899</v>
      </c>
      <c r="F4" s="915"/>
      <c r="G4" s="915"/>
      <c r="H4" s="911"/>
      <c r="I4" s="911"/>
      <c r="J4" s="911"/>
    </row>
    <row r="5" spans="1:10" ht="20.100000000000001" customHeight="1" x14ac:dyDescent="0.25">
      <c r="B5" s="919"/>
      <c r="C5" s="912" t="s">
        <v>900</v>
      </c>
      <c r="D5" s="922"/>
      <c r="E5" s="370" t="s">
        <v>1494</v>
      </c>
      <c r="F5" s="908">
        <v>73960</v>
      </c>
      <c r="G5" s="912">
        <v>1</v>
      </c>
      <c r="H5" s="908">
        <v>1633</v>
      </c>
      <c r="I5" s="908">
        <v>915</v>
      </c>
      <c r="J5" s="908">
        <v>1716</v>
      </c>
    </row>
    <row r="6" spans="1:10" ht="20.100000000000001" customHeight="1" thickBot="1" x14ac:dyDescent="0.3">
      <c r="B6" s="919"/>
      <c r="C6" s="913"/>
      <c r="D6" s="922"/>
      <c r="E6" s="371" t="s">
        <v>901</v>
      </c>
      <c r="F6" s="909"/>
      <c r="G6" s="913"/>
      <c r="H6" s="909"/>
      <c r="I6" s="909"/>
      <c r="J6" s="909"/>
    </row>
    <row r="7" spans="1:10" ht="20.100000000000001" customHeight="1" x14ac:dyDescent="0.25">
      <c r="B7" s="919"/>
      <c r="C7" s="914" t="s">
        <v>902</v>
      </c>
      <c r="D7" s="922"/>
      <c r="E7" s="368" t="s">
        <v>903</v>
      </c>
      <c r="F7" s="910">
        <v>210887</v>
      </c>
      <c r="G7" s="914">
        <v>2</v>
      </c>
      <c r="H7" s="910">
        <v>1429</v>
      </c>
      <c r="I7" s="910">
        <v>1477</v>
      </c>
      <c r="J7" s="910">
        <v>2647</v>
      </c>
    </row>
    <row r="8" spans="1:10" ht="20.100000000000001" customHeight="1" x14ac:dyDescent="0.25">
      <c r="B8" s="919"/>
      <c r="C8" s="921"/>
      <c r="D8" s="922"/>
      <c r="E8" s="368" t="s">
        <v>904</v>
      </c>
      <c r="F8" s="929"/>
      <c r="G8" s="921"/>
      <c r="H8" s="929"/>
      <c r="I8" s="929"/>
      <c r="J8" s="929"/>
    </row>
    <row r="9" spans="1:10" ht="20.100000000000001" customHeight="1" thickBot="1" x14ac:dyDescent="0.3">
      <c r="B9" s="920"/>
      <c r="C9" s="915"/>
      <c r="D9" s="907"/>
      <c r="E9" s="369"/>
      <c r="F9" s="911"/>
      <c r="G9" s="915"/>
      <c r="H9" s="911"/>
      <c r="I9" s="911"/>
      <c r="J9" s="911"/>
    </row>
    <row r="10" spans="1:10" ht="20.100000000000001" customHeight="1" thickBot="1" x14ac:dyDescent="0.3">
      <c r="B10" s="916" t="s">
        <v>905</v>
      </c>
      <c r="C10" s="360" t="s">
        <v>906</v>
      </c>
      <c r="D10" s="904" t="s">
        <v>907</v>
      </c>
      <c r="E10" s="371" t="s">
        <v>908</v>
      </c>
      <c r="F10" s="363" t="s">
        <v>1001</v>
      </c>
      <c r="G10" s="360">
        <v>1</v>
      </c>
      <c r="H10" s="375">
        <v>2307</v>
      </c>
      <c r="I10" s="375" t="s">
        <v>1008</v>
      </c>
      <c r="J10" s="375" t="s">
        <v>1008</v>
      </c>
    </row>
    <row r="11" spans="1:10" ht="20.100000000000001" customHeight="1" thickBot="1" x14ac:dyDescent="0.3">
      <c r="B11" s="917"/>
      <c r="C11" s="359" t="s">
        <v>909</v>
      </c>
      <c r="D11" s="905"/>
      <c r="E11" s="369" t="s">
        <v>910</v>
      </c>
      <c r="F11" s="367">
        <v>45000</v>
      </c>
      <c r="G11" s="359">
        <v>1</v>
      </c>
      <c r="H11" s="376">
        <v>829</v>
      </c>
      <c r="I11" s="376" t="s">
        <v>1008</v>
      </c>
      <c r="J11" s="376" t="s">
        <v>1008</v>
      </c>
    </row>
    <row r="12" spans="1:10" ht="20.100000000000001" customHeight="1" thickBot="1" x14ac:dyDescent="0.3">
      <c r="B12" s="923" t="s">
        <v>911</v>
      </c>
      <c r="C12" s="360" t="s">
        <v>912</v>
      </c>
      <c r="D12" s="904" t="s">
        <v>913</v>
      </c>
      <c r="E12" s="904" t="s">
        <v>914</v>
      </c>
      <c r="F12" s="908">
        <v>5500</v>
      </c>
      <c r="G12" s="912">
        <v>1</v>
      </c>
      <c r="H12" s="375">
        <v>2249</v>
      </c>
      <c r="I12" s="375" t="s">
        <v>1008</v>
      </c>
      <c r="J12" s="375" t="s">
        <v>1008</v>
      </c>
    </row>
    <row r="13" spans="1:10" ht="20.100000000000001" customHeight="1" thickBot="1" x14ac:dyDescent="0.3">
      <c r="B13" s="924"/>
      <c r="C13" s="359" t="s">
        <v>1020</v>
      </c>
      <c r="D13" s="926"/>
      <c r="E13" s="905"/>
      <c r="F13" s="909"/>
      <c r="G13" s="913"/>
      <c r="H13" s="394">
        <v>2548</v>
      </c>
      <c r="I13" s="394" t="s">
        <v>1008</v>
      </c>
      <c r="J13" s="394" t="s">
        <v>1008</v>
      </c>
    </row>
    <row r="14" spans="1:10" ht="20.100000000000001" customHeight="1" thickBot="1" x14ac:dyDescent="0.3">
      <c r="B14" s="924"/>
      <c r="C14" s="360" t="s">
        <v>915</v>
      </c>
      <c r="D14" s="926"/>
      <c r="E14" s="906" t="s">
        <v>916</v>
      </c>
      <c r="F14" s="910">
        <v>2500</v>
      </c>
      <c r="G14" s="914">
        <v>1</v>
      </c>
      <c r="H14" s="395">
        <v>1996</v>
      </c>
      <c r="I14" s="396" t="s">
        <v>1008</v>
      </c>
      <c r="J14" s="397" t="s">
        <v>1008</v>
      </c>
    </row>
    <row r="15" spans="1:10" ht="20.100000000000001" customHeight="1" thickBot="1" x14ac:dyDescent="0.3">
      <c r="B15" s="925"/>
      <c r="C15" s="393" t="s">
        <v>1021</v>
      </c>
      <c r="D15" s="905"/>
      <c r="E15" s="907"/>
      <c r="F15" s="911"/>
      <c r="G15" s="915"/>
      <c r="H15" s="394">
        <v>2311</v>
      </c>
      <c r="I15" s="394" t="s">
        <v>1008</v>
      </c>
      <c r="J15" s="394" t="s">
        <v>1008</v>
      </c>
    </row>
    <row r="16" spans="1:10" ht="20.100000000000001" customHeight="1" x14ac:dyDescent="0.25">
      <c r="B16" s="916" t="s">
        <v>917</v>
      </c>
      <c r="C16" s="912" t="s">
        <v>918</v>
      </c>
      <c r="D16" s="904" t="s">
        <v>919</v>
      </c>
      <c r="E16" s="370" t="s">
        <v>920</v>
      </c>
      <c r="F16" s="908">
        <v>241351</v>
      </c>
      <c r="G16" s="912">
        <v>5</v>
      </c>
      <c r="H16" s="908">
        <v>3534</v>
      </c>
      <c r="I16" s="908">
        <v>3115</v>
      </c>
      <c r="J16" s="908">
        <v>4015</v>
      </c>
    </row>
    <row r="17" spans="2:10" ht="20.100000000000001" customHeight="1" thickBot="1" x14ac:dyDescent="0.3">
      <c r="B17" s="927"/>
      <c r="C17" s="913"/>
      <c r="D17" s="905"/>
      <c r="E17" s="371" t="s">
        <v>921</v>
      </c>
      <c r="F17" s="909"/>
      <c r="G17" s="913"/>
      <c r="H17" s="909"/>
      <c r="I17" s="909"/>
      <c r="J17" s="909"/>
    </row>
    <row r="18" spans="2:10" ht="20.100000000000001" customHeight="1" x14ac:dyDescent="0.25">
      <c r="B18" s="927"/>
      <c r="C18" s="914" t="s">
        <v>922</v>
      </c>
      <c r="D18" s="906" t="s">
        <v>923</v>
      </c>
      <c r="E18" s="368" t="s">
        <v>924</v>
      </c>
      <c r="F18" s="910">
        <v>40946</v>
      </c>
      <c r="G18" s="914">
        <v>3</v>
      </c>
      <c r="H18" s="910">
        <v>2925</v>
      </c>
      <c r="I18" s="910" t="s">
        <v>1008</v>
      </c>
      <c r="J18" s="910" t="s">
        <v>1008</v>
      </c>
    </row>
    <row r="19" spans="2:10" ht="20.100000000000001" customHeight="1" x14ac:dyDescent="0.25">
      <c r="B19" s="927"/>
      <c r="C19" s="921"/>
      <c r="D19" s="922"/>
      <c r="E19" s="368" t="s">
        <v>925</v>
      </c>
      <c r="F19" s="929"/>
      <c r="G19" s="921"/>
      <c r="H19" s="929"/>
      <c r="I19" s="929"/>
      <c r="J19" s="929"/>
    </row>
    <row r="20" spans="2:10" ht="20.100000000000001" customHeight="1" thickBot="1" x14ac:dyDescent="0.3">
      <c r="B20" s="917"/>
      <c r="C20" s="915"/>
      <c r="D20" s="907"/>
      <c r="E20" s="369" t="s">
        <v>926</v>
      </c>
      <c r="F20" s="911"/>
      <c r="G20" s="915"/>
      <c r="H20" s="911"/>
      <c r="I20" s="911"/>
      <c r="J20" s="911"/>
    </row>
    <row r="21" spans="2:10" ht="30" customHeight="1" thickBot="1" x14ac:dyDescent="0.3">
      <c r="B21" s="361" t="s">
        <v>927</v>
      </c>
      <c r="C21" s="360" t="s">
        <v>928</v>
      </c>
      <c r="D21" s="371" t="s">
        <v>929</v>
      </c>
      <c r="E21" s="371" t="s">
        <v>930</v>
      </c>
      <c r="F21" s="366">
        <v>33740</v>
      </c>
      <c r="G21" s="360">
        <v>4</v>
      </c>
      <c r="H21" s="375">
        <v>2429</v>
      </c>
      <c r="I21" s="375">
        <v>1378</v>
      </c>
      <c r="J21" s="375">
        <v>2528</v>
      </c>
    </row>
    <row r="22" spans="2:10" ht="20.100000000000001" customHeight="1" x14ac:dyDescent="0.25">
      <c r="B22" s="918" t="s">
        <v>145</v>
      </c>
      <c r="C22" s="914" t="s">
        <v>931</v>
      </c>
      <c r="D22" s="906" t="s">
        <v>932</v>
      </c>
      <c r="E22" s="368" t="s">
        <v>933</v>
      </c>
      <c r="F22" s="910">
        <v>122120</v>
      </c>
      <c r="G22" s="914">
        <v>6</v>
      </c>
      <c r="H22" s="910">
        <v>2600</v>
      </c>
      <c r="I22" s="910">
        <v>2595</v>
      </c>
      <c r="J22" s="910">
        <v>3180</v>
      </c>
    </row>
    <row r="23" spans="2:10" ht="20.100000000000001" customHeight="1" x14ac:dyDescent="0.25">
      <c r="B23" s="919"/>
      <c r="C23" s="921"/>
      <c r="D23" s="922"/>
      <c r="E23" s="368" t="s">
        <v>934</v>
      </c>
      <c r="F23" s="929"/>
      <c r="G23" s="921"/>
      <c r="H23" s="929"/>
      <c r="I23" s="929"/>
      <c r="J23" s="929"/>
    </row>
    <row r="24" spans="2:10" ht="20.100000000000001" customHeight="1" thickBot="1" x14ac:dyDescent="0.3">
      <c r="B24" s="919"/>
      <c r="C24" s="915"/>
      <c r="D24" s="922"/>
      <c r="E24" s="368" t="s">
        <v>935</v>
      </c>
      <c r="F24" s="911"/>
      <c r="G24" s="915"/>
      <c r="H24" s="911"/>
      <c r="I24" s="911"/>
      <c r="J24" s="911"/>
    </row>
    <row r="25" spans="2:10" ht="30" customHeight="1" thickBot="1" x14ac:dyDescent="0.3">
      <c r="B25" s="919"/>
      <c r="C25" s="360" t="s">
        <v>698</v>
      </c>
      <c r="D25" s="922"/>
      <c r="E25" s="368" t="s">
        <v>936</v>
      </c>
      <c r="F25" s="363" t="s">
        <v>1001</v>
      </c>
      <c r="G25" s="360" t="s">
        <v>1001</v>
      </c>
      <c r="H25" s="375">
        <v>2467</v>
      </c>
      <c r="I25" s="375">
        <v>1400</v>
      </c>
      <c r="J25" s="375">
        <v>2568</v>
      </c>
    </row>
    <row r="26" spans="2:10" ht="20.100000000000001" customHeight="1" thickBot="1" x14ac:dyDescent="0.3">
      <c r="B26" s="920"/>
      <c r="C26" s="359" t="s">
        <v>938</v>
      </c>
      <c r="D26" s="907"/>
      <c r="E26" s="369" t="s">
        <v>937</v>
      </c>
      <c r="F26" s="367">
        <v>43200</v>
      </c>
      <c r="G26" s="359">
        <v>4</v>
      </c>
      <c r="H26" s="376">
        <v>2421</v>
      </c>
      <c r="I26" s="376" t="s">
        <v>1008</v>
      </c>
      <c r="J26" s="376" t="s">
        <v>1008</v>
      </c>
    </row>
    <row r="27" spans="2:10" ht="20.100000000000001" customHeight="1" x14ac:dyDescent="0.25">
      <c r="B27" s="916" t="s">
        <v>939</v>
      </c>
      <c r="C27" s="912" t="s">
        <v>940</v>
      </c>
      <c r="D27" s="904" t="s">
        <v>941</v>
      </c>
      <c r="E27" s="370" t="s">
        <v>942</v>
      </c>
      <c r="F27" s="908">
        <v>24962</v>
      </c>
      <c r="G27" s="912">
        <v>1</v>
      </c>
      <c r="H27" s="908">
        <v>1554</v>
      </c>
      <c r="I27" s="908">
        <v>1184</v>
      </c>
      <c r="J27" s="908">
        <v>1652</v>
      </c>
    </row>
    <row r="28" spans="2:10" ht="20.100000000000001" customHeight="1" x14ac:dyDescent="0.25">
      <c r="B28" s="927"/>
      <c r="C28" s="928"/>
      <c r="D28" s="926"/>
      <c r="E28" s="370" t="s">
        <v>943</v>
      </c>
      <c r="F28" s="930"/>
      <c r="G28" s="928"/>
      <c r="H28" s="930"/>
      <c r="I28" s="930"/>
      <c r="J28" s="930"/>
    </row>
    <row r="29" spans="2:10" ht="20.100000000000001" customHeight="1" x14ac:dyDescent="0.25">
      <c r="B29" s="927"/>
      <c r="C29" s="928"/>
      <c r="D29" s="926"/>
      <c r="E29" s="370" t="s">
        <v>944</v>
      </c>
      <c r="F29" s="930"/>
      <c r="G29" s="928"/>
      <c r="H29" s="930"/>
      <c r="I29" s="930"/>
      <c r="J29" s="930"/>
    </row>
    <row r="30" spans="2:10" ht="20.100000000000001" customHeight="1" x14ac:dyDescent="0.25">
      <c r="B30" s="927"/>
      <c r="C30" s="928"/>
      <c r="D30" s="926"/>
      <c r="E30" s="370" t="s">
        <v>945</v>
      </c>
      <c r="F30" s="930"/>
      <c r="G30" s="928"/>
      <c r="H30" s="930"/>
      <c r="I30" s="930"/>
      <c r="J30" s="930"/>
    </row>
    <row r="31" spans="2:10" ht="20.100000000000001" customHeight="1" thickBot="1" x14ac:dyDescent="0.3">
      <c r="B31" s="927"/>
      <c r="C31" s="913"/>
      <c r="D31" s="905"/>
      <c r="E31" s="371" t="s">
        <v>946</v>
      </c>
      <c r="F31" s="909"/>
      <c r="G31" s="913"/>
      <c r="H31" s="909"/>
      <c r="I31" s="909"/>
      <c r="J31" s="909"/>
    </row>
    <row r="32" spans="2:10" ht="20.100000000000001" customHeight="1" x14ac:dyDescent="0.25">
      <c r="B32" s="927"/>
      <c r="C32" s="914" t="s">
        <v>947</v>
      </c>
      <c r="D32" s="906" t="s">
        <v>948</v>
      </c>
      <c r="E32" s="368" t="s">
        <v>949</v>
      </c>
      <c r="F32" s="910">
        <v>22500</v>
      </c>
      <c r="G32" s="914">
        <v>1</v>
      </c>
      <c r="H32" s="910">
        <v>1467</v>
      </c>
      <c r="I32" s="910" t="s">
        <v>1008</v>
      </c>
      <c r="J32" s="910" t="s">
        <v>1008</v>
      </c>
    </row>
    <row r="33" spans="2:10" ht="20.100000000000001" customHeight="1" thickBot="1" x14ac:dyDescent="0.3">
      <c r="B33" s="917"/>
      <c r="C33" s="915"/>
      <c r="D33" s="907"/>
      <c r="E33" s="369" t="s">
        <v>950</v>
      </c>
      <c r="F33" s="911"/>
      <c r="G33" s="915"/>
      <c r="H33" s="911"/>
      <c r="I33" s="911"/>
      <c r="J33" s="911"/>
    </row>
    <row r="34" spans="2:10" ht="20.100000000000001" customHeight="1" x14ac:dyDescent="0.25">
      <c r="B34" s="916" t="s">
        <v>951</v>
      </c>
      <c r="C34" s="912" t="s">
        <v>952</v>
      </c>
      <c r="D34" s="904" t="s">
        <v>953</v>
      </c>
      <c r="E34" s="370" t="s">
        <v>954</v>
      </c>
      <c r="F34" s="908">
        <v>498588</v>
      </c>
      <c r="G34" s="912">
        <v>12</v>
      </c>
      <c r="H34" s="908">
        <v>2866</v>
      </c>
      <c r="I34" s="908">
        <v>2009</v>
      </c>
      <c r="J34" s="908">
        <v>2401</v>
      </c>
    </row>
    <row r="35" spans="2:10" ht="20.100000000000001" customHeight="1" x14ac:dyDescent="0.25">
      <c r="B35" s="927"/>
      <c r="C35" s="928"/>
      <c r="D35" s="926"/>
      <c r="E35" s="370" t="s">
        <v>955</v>
      </c>
      <c r="F35" s="930"/>
      <c r="G35" s="928"/>
      <c r="H35" s="930"/>
      <c r="I35" s="930"/>
      <c r="J35" s="930"/>
    </row>
    <row r="36" spans="2:10" ht="20.100000000000001" customHeight="1" x14ac:dyDescent="0.25">
      <c r="B36" s="927"/>
      <c r="C36" s="928"/>
      <c r="D36" s="926"/>
      <c r="E36" s="370" t="s">
        <v>956</v>
      </c>
      <c r="F36" s="930"/>
      <c r="G36" s="928"/>
      <c r="H36" s="930"/>
      <c r="I36" s="930"/>
      <c r="J36" s="930"/>
    </row>
    <row r="37" spans="2:10" ht="20.100000000000001" customHeight="1" x14ac:dyDescent="0.25">
      <c r="B37" s="927"/>
      <c r="C37" s="928"/>
      <c r="D37" s="926"/>
      <c r="E37" s="370" t="s">
        <v>957</v>
      </c>
      <c r="F37" s="930"/>
      <c r="G37" s="928"/>
      <c r="H37" s="930"/>
      <c r="I37" s="930"/>
      <c r="J37" s="930"/>
    </row>
    <row r="38" spans="2:10" ht="20.100000000000001" customHeight="1" x14ac:dyDescent="0.25">
      <c r="B38" s="927"/>
      <c r="C38" s="928"/>
      <c r="D38" s="926"/>
      <c r="E38" s="370" t="s">
        <v>958</v>
      </c>
      <c r="F38" s="930"/>
      <c r="G38" s="928"/>
      <c r="H38" s="930"/>
      <c r="I38" s="930"/>
      <c r="J38" s="930"/>
    </row>
    <row r="39" spans="2:10" ht="20.100000000000001" customHeight="1" x14ac:dyDescent="0.25">
      <c r="B39" s="927"/>
      <c r="C39" s="928"/>
      <c r="D39" s="926"/>
      <c r="E39" s="370" t="s">
        <v>959</v>
      </c>
      <c r="F39" s="930"/>
      <c r="G39" s="928"/>
      <c r="H39" s="930"/>
      <c r="I39" s="930"/>
      <c r="J39" s="930"/>
    </row>
    <row r="40" spans="2:10" ht="20.100000000000001" customHeight="1" x14ac:dyDescent="0.25">
      <c r="B40" s="927"/>
      <c r="C40" s="928"/>
      <c r="D40" s="926"/>
      <c r="E40" s="370" t="s">
        <v>960</v>
      </c>
      <c r="F40" s="930"/>
      <c r="G40" s="928"/>
      <c r="H40" s="930"/>
      <c r="I40" s="930"/>
      <c r="J40" s="930"/>
    </row>
    <row r="41" spans="2:10" ht="20.100000000000001" customHeight="1" x14ac:dyDescent="0.25">
      <c r="B41" s="927"/>
      <c r="C41" s="928"/>
      <c r="D41" s="926"/>
      <c r="E41" s="370" t="s">
        <v>961</v>
      </c>
      <c r="F41" s="930"/>
      <c r="G41" s="928"/>
      <c r="H41" s="930"/>
      <c r="I41" s="930"/>
      <c r="J41" s="930"/>
    </row>
    <row r="42" spans="2:10" ht="20.100000000000001" customHeight="1" x14ac:dyDescent="0.25">
      <c r="B42" s="927"/>
      <c r="C42" s="928"/>
      <c r="D42" s="926"/>
      <c r="E42" s="370" t="s">
        <v>962</v>
      </c>
      <c r="F42" s="930"/>
      <c r="G42" s="928"/>
      <c r="H42" s="930"/>
      <c r="I42" s="930"/>
      <c r="J42" s="930"/>
    </row>
    <row r="43" spans="2:10" ht="20.100000000000001" customHeight="1" thickBot="1" x14ac:dyDescent="0.3">
      <c r="B43" s="927"/>
      <c r="C43" s="913"/>
      <c r="D43" s="926"/>
      <c r="E43" s="370" t="s">
        <v>963</v>
      </c>
      <c r="F43" s="909"/>
      <c r="G43" s="913"/>
      <c r="H43" s="909"/>
      <c r="I43" s="909"/>
      <c r="J43" s="909"/>
    </row>
    <row r="44" spans="2:10" ht="20.100000000000001" customHeight="1" thickBot="1" x14ac:dyDescent="0.3">
      <c r="B44" s="927"/>
      <c r="C44" s="359" t="s">
        <v>966</v>
      </c>
      <c r="D44" s="926"/>
      <c r="E44" s="370" t="s">
        <v>964</v>
      </c>
      <c r="F44" s="367">
        <v>53628</v>
      </c>
      <c r="G44" s="359">
        <v>3</v>
      </c>
      <c r="H44" s="376">
        <v>1523</v>
      </c>
      <c r="I44" s="376" t="s">
        <v>1008</v>
      </c>
      <c r="J44" s="376" t="s">
        <v>1008</v>
      </c>
    </row>
    <row r="45" spans="2:10" ht="20.100000000000001" customHeight="1" thickBot="1" x14ac:dyDescent="0.3">
      <c r="B45" s="917"/>
      <c r="C45" s="360" t="s">
        <v>967</v>
      </c>
      <c r="D45" s="905"/>
      <c r="E45" s="371" t="s">
        <v>965</v>
      </c>
      <c r="F45" s="366">
        <v>5500</v>
      </c>
      <c r="G45" s="360">
        <v>1</v>
      </c>
      <c r="H45" s="375">
        <v>1598</v>
      </c>
      <c r="I45" s="375" t="s">
        <v>1008</v>
      </c>
      <c r="J45" s="375" t="s">
        <v>1008</v>
      </c>
    </row>
    <row r="46" spans="2:10" ht="30" customHeight="1" x14ac:dyDescent="0.25">
      <c r="B46" s="918" t="s">
        <v>699</v>
      </c>
      <c r="C46" s="914" t="s">
        <v>968</v>
      </c>
      <c r="D46" s="906" t="s">
        <v>969</v>
      </c>
      <c r="E46" s="368" t="s">
        <v>970</v>
      </c>
      <c r="F46" s="914" t="s">
        <v>1001</v>
      </c>
      <c r="G46" s="914" t="s">
        <v>1001</v>
      </c>
      <c r="H46" s="910">
        <v>2196</v>
      </c>
      <c r="I46" s="910">
        <v>1231</v>
      </c>
      <c r="J46" s="910">
        <v>2307</v>
      </c>
    </row>
    <row r="47" spans="2:10" ht="30" customHeight="1" x14ac:dyDescent="0.25">
      <c r="B47" s="919"/>
      <c r="C47" s="921"/>
      <c r="D47" s="922"/>
      <c r="E47" s="368" t="s">
        <v>971</v>
      </c>
      <c r="F47" s="921"/>
      <c r="G47" s="921"/>
      <c r="H47" s="929"/>
      <c r="I47" s="929"/>
      <c r="J47" s="929"/>
    </row>
    <row r="48" spans="2:10" ht="30" customHeight="1" x14ac:dyDescent="0.25">
      <c r="B48" s="919"/>
      <c r="C48" s="921"/>
      <c r="D48" s="922"/>
      <c r="E48" s="368" t="s">
        <v>972</v>
      </c>
      <c r="F48" s="921"/>
      <c r="G48" s="921"/>
      <c r="H48" s="929"/>
      <c r="I48" s="929"/>
      <c r="J48" s="929"/>
    </row>
    <row r="49" spans="2:10" ht="20.100000000000001" customHeight="1" x14ac:dyDescent="0.25">
      <c r="B49" s="919"/>
      <c r="C49" s="921"/>
      <c r="D49" s="922"/>
      <c r="E49" s="368" t="s">
        <v>973</v>
      </c>
      <c r="F49" s="921"/>
      <c r="G49" s="921"/>
      <c r="H49" s="929"/>
      <c r="I49" s="929"/>
      <c r="J49" s="929"/>
    </row>
    <row r="50" spans="2:10" ht="20.100000000000001" customHeight="1" x14ac:dyDescent="0.25">
      <c r="B50" s="919"/>
      <c r="C50" s="921"/>
      <c r="D50" s="922"/>
      <c r="E50" s="368" t="s">
        <v>974</v>
      </c>
      <c r="F50" s="921"/>
      <c r="G50" s="921"/>
      <c r="H50" s="929"/>
      <c r="I50" s="929"/>
      <c r="J50" s="929"/>
    </row>
    <row r="51" spans="2:10" ht="20.100000000000001" customHeight="1" x14ac:dyDescent="0.25">
      <c r="B51" s="919"/>
      <c r="C51" s="921"/>
      <c r="D51" s="922"/>
      <c r="E51" s="368" t="s">
        <v>975</v>
      </c>
      <c r="F51" s="921"/>
      <c r="G51" s="921"/>
      <c r="H51" s="929"/>
      <c r="I51" s="929"/>
      <c r="J51" s="929"/>
    </row>
    <row r="52" spans="2:10" ht="20.100000000000001" customHeight="1" x14ac:dyDescent="0.25">
      <c r="B52" s="919"/>
      <c r="C52" s="921"/>
      <c r="D52" s="922"/>
      <c r="E52" s="368" t="s">
        <v>976</v>
      </c>
      <c r="F52" s="921"/>
      <c r="G52" s="921"/>
      <c r="H52" s="929"/>
      <c r="I52" s="929"/>
      <c r="J52" s="929"/>
    </row>
    <row r="53" spans="2:10" ht="20.100000000000001" customHeight="1" x14ac:dyDescent="0.25">
      <c r="B53" s="919"/>
      <c r="C53" s="921"/>
      <c r="D53" s="922"/>
      <c r="E53" s="368" t="s">
        <v>977</v>
      </c>
      <c r="F53" s="921"/>
      <c r="G53" s="921"/>
      <c r="H53" s="929"/>
      <c r="I53" s="929"/>
      <c r="J53" s="929"/>
    </row>
    <row r="54" spans="2:10" ht="20.100000000000001" customHeight="1" x14ac:dyDescent="0.25">
      <c r="B54" s="919"/>
      <c r="C54" s="921"/>
      <c r="D54" s="922"/>
      <c r="E54" s="368" t="s">
        <v>978</v>
      </c>
      <c r="F54" s="921"/>
      <c r="G54" s="921"/>
      <c r="H54" s="929"/>
      <c r="I54" s="929"/>
      <c r="J54" s="929"/>
    </row>
    <row r="55" spans="2:10" ht="20.100000000000001" customHeight="1" thickBot="1" x14ac:dyDescent="0.3">
      <c r="B55" s="920"/>
      <c r="C55" s="915"/>
      <c r="D55" s="907"/>
      <c r="E55" s="369" t="s">
        <v>979</v>
      </c>
      <c r="F55" s="915"/>
      <c r="G55" s="915"/>
      <c r="H55" s="911"/>
      <c r="I55" s="911"/>
      <c r="J55" s="911"/>
    </row>
    <row r="56" spans="2:10" ht="30" customHeight="1" thickBot="1" x14ac:dyDescent="0.3">
      <c r="B56" s="361" t="s">
        <v>37</v>
      </c>
      <c r="C56" s="360" t="s">
        <v>37</v>
      </c>
      <c r="D56" s="371" t="s">
        <v>980</v>
      </c>
      <c r="E56" s="371" t="s">
        <v>930</v>
      </c>
      <c r="F56" s="363" t="s">
        <v>1001</v>
      </c>
      <c r="G56" s="360" t="s">
        <v>1001</v>
      </c>
      <c r="H56" s="375">
        <v>602</v>
      </c>
      <c r="I56" s="375">
        <v>713</v>
      </c>
      <c r="J56" s="375">
        <v>994</v>
      </c>
    </row>
    <row r="57" spans="2:10" ht="30" customHeight="1" thickBot="1" x14ac:dyDescent="0.3">
      <c r="B57" s="362" t="s">
        <v>324</v>
      </c>
      <c r="C57" s="359" t="s">
        <v>324</v>
      </c>
      <c r="D57" s="369" t="s">
        <v>981</v>
      </c>
      <c r="E57" s="369" t="s">
        <v>982</v>
      </c>
      <c r="F57" s="373" t="s">
        <v>1001</v>
      </c>
      <c r="G57" s="373" t="s">
        <v>1001</v>
      </c>
      <c r="H57" s="374">
        <v>602</v>
      </c>
      <c r="I57" s="374">
        <v>713</v>
      </c>
      <c r="J57" s="374">
        <v>994</v>
      </c>
    </row>
    <row r="58" spans="2:10" ht="20.100000000000001" customHeight="1" x14ac:dyDescent="0.25">
      <c r="B58" s="916" t="s">
        <v>700</v>
      </c>
      <c r="C58" s="912" t="s">
        <v>700</v>
      </c>
      <c r="D58" s="904" t="s">
        <v>983</v>
      </c>
      <c r="E58" s="370" t="s">
        <v>984</v>
      </c>
      <c r="F58" s="912" t="s">
        <v>1001</v>
      </c>
      <c r="G58" s="912" t="s">
        <v>1001</v>
      </c>
      <c r="H58" s="908">
        <v>1742</v>
      </c>
      <c r="I58" s="908" t="s">
        <v>1008</v>
      </c>
      <c r="J58" s="908" t="s">
        <v>1008</v>
      </c>
    </row>
    <row r="59" spans="2:10" ht="20.100000000000001" customHeight="1" x14ac:dyDescent="0.25">
      <c r="B59" s="927"/>
      <c r="C59" s="928"/>
      <c r="D59" s="926"/>
      <c r="E59" s="370" t="s">
        <v>985</v>
      </c>
      <c r="F59" s="928"/>
      <c r="G59" s="928"/>
      <c r="H59" s="930"/>
      <c r="I59" s="930"/>
      <c r="J59" s="930"/>
    </row>
    <row r="60" spans="2:10" ht="20.100000000000001" customHeight="1" x14ac:dyDescent="0.25">
      <c r="B60" s="927"/>
      <c r="C60" s="928"/>
      <c r="D60" s="926"/>
      <c r="E60" s="370" t="s">
        <v>986</v>
      </c>
      <c r="F60" s="928"/>
      <c r="G60" s="928"/>
      <c r="H60" s="930"/>
      <c r="I60" s="930"/>
      <c r="J60" s="930"/>
    </row>
    <row r="61" spans="2:10" ht="20.100000000000001" customHeight="1" x14ac:dyDescent="0.25">
      <c r="B61" s="927"/>
      <c r="C61" s="928"/>
      <c r="D61" s="926"/>
      <c r="E61" s="370" t="s">
        <v>987</v>
      </c>
      <c r="F61" s="928"/>
      <c r="G61" s="928"/>
      <c r="H61" s="930"/>
      <c r="I61" s="930"/>
      <c r="J61" s="930"/>
    </row>
    <row r="62" spans="2:10" ht="20.100000000000001" customHeight="1" x14ac:dyDescent="0.25">
      <c r="B62" s="927"/>
      <c r="C62" s="928"/>
      <c r="D62" s="926"/>
      <c r="E62" s="370" t="s">
        <v>988</v>
      </c>
      <c r="F62" s="928"/>
      <c r="G62" s="928"/>
      <c r="H62" s="930"/>
      <c r="I62" s="930"/>
      <c r="J62" s="930"/>
    </row>
    <row r="63" spans="2:10" ht="20.100000000000001" customHeight="1" x14ac:dyDescent="0.25">
      <c r="B63" s="927"/>
      <c r="C63" s="928"/>
      <c r="D63" s="926"/>
      <c r="E63" s="370" t="s">
        <v>989</v>
      </c>
      <c r="F63" s="928"/>
      <c r="G63" s="928"/>
      <c r="H63" s="930"/>
      <c r="I63" s="930"/>
      <c r="J63" s="930"/>
    </row>
    <row r="64" spans="2:10" ht="20.100000000000001" customHeight="1" x14ac:dyDescent="0.25">
      <c r="B64" s="927"/>
      <c r="C64" s="928"/>
      <c r="D64" s="926"/>
      <c r="E64" s="370" t="s">
        <v>990</v>
      </c>
      <c r="F64" s="928"/>
      <c r="G64" s="928"/>
      <c r="H64" s="930"/>
      <c r="I64" s="930"/>
      <c r="J64" s="930"/>
    </row>
    <row r="65" spans="2:10" ht="20.100000000000001" customHeight="1" x14ac:dyDescent="0.25">
      <c r="B65" s="927"/>
      <c r="C65" s="928"/>
      <c r="D65" s="926"/>
      <c r="E65" s="370" t="s">
        <v>991</v>
      </c>
      <c r="F65" s="928"/>
      <c r="G65" s="928"/>
      <c r="H65" s="930"/>
      <c r="I65" s="930"/>
      <c r="J65" s="930"/>
    </row>
    <row r="66" spans="2:10" ht="20.100000000000001" customHeight="1" x14ac:dyDescent="0.25">
      <c r="B66" s="927"/>
      <c r="C66" s="928"/>
      <c r="D66" s="926"/>
      <c r="E66" s="370" t="s">
        <v>992</v>
      </c>
      <c r="F66" s="928"/>
      <c r="G66" s="928"/>
      <c r="H66" s="930"/>
      <c r="I66" s="930"/>
      <c r="J66" s="930"/>
    </row>
    <row r="67" spans="2:10" ht="20.100000000000001" customHeight="1" x14ac:dyDescent="0.25">
      <c r="B67" s="927"/>
      <c r="C67" s="928"/>
      <c r="D67" s="926"/>
      <c r="E67" s="370" t="s">
        <v>993</v>
      </c>
      <c r="F67" s="928"/>
      <c r="G67" s="928"/>
      <c r="H67" s="930"/>
      <c r="I67" s="930"/>
      <c r="J67" s="930"/>
    </row>
    <row r="68" spans="2:10" ht="20.100000000000001" customHeight="1" x14ac:dyDescent="0.25">
      <c r="B68" s="927"/>
      <c r="C68" s="928"/>
      <c r="D68" s="926"/>
      <c r="E68" s="370" t="s">
        <v>994</v>
      </c>
      <c r="F68" s="928"/>
      <c r="G68" s="928"/>
      <c r="H68" s="930"/>
      <c r="I68" s="930"/>
      <c r="J68" s="930"/>
    </row>
    <row r="69" spans="2:10" ht="20.100000000000001" customHeight="1" thickBot="1" x14ac:dyDescent="0.3">
      <c r="B69" s="917"/>
      <c r="C69" s="913"/>
      <c r="D69" s="905"/>
      <c r="E69" s="371" t="s">
        <v>995</v>
      </c>
      <c r="F69" s="913"/>
      <c r="G69" s="913"/>
      <c r="H69" s="909"/>
      <c r="I69" s="909"/>
      <c r="J69" s="909"/>
    </row>
    <row r="70" spans="2:10" ht="20.100000000000001" customHeight="1" x14ac:dyDescent="0.25">
      <c r="B70" s="918" t="s">
        <v>701</v>
      </c>
      <c r="C70" s="914" t="s">
        <v>701</v>
      </c>
      <c r="D70" s="906" t="s">
        <v>996</v>
      </c>
      <c r="E70" s="368" t="s">
        <v>997</v>
      </c>
      <c r="F70" s="910">
        <v>52045</v>
      </c>
      <c r="G70" s="914">
        <v>1</v>
      </c>
      <c r="H70" s="910">
        <v>718</v>
      </c>
      <c r="I70" s="910" t="s">
        <v>1008</v>
      </c>
      <c r="J70" s="910" t="s">
        <v>1008</v>
      </c>
    </row>
    <row r="71" spans="2:10" ht="20.100000000000001" customHeight="1" x14ac:dyDescent="0.25">
      <c r="B71" s="919"/>
      <c r="C71" s="921"/>
      <c r="D71" s="922"/>
      <c r="E71" s="368" t="s">
        <v>998</v>
      </c>
      <c r="F71" s="929"/>
      <c r="G71" s="921"/>
      <c r="H71" s="929"/>
      <c r="I71" s="929"/>
      <c r="J71" s="929"/>
    </row>
    <row r="72" spans="2:10" ht="20.100000000000001" customHeight="1" thickBot="1" x14ac:dyDescent="0.3">
      <c r="B72" s="920"/>
      <c r="C72" s="915"/>
      <c r="D72" s="907"/>
      <c r="E72" s="369" t="s">
        <v>999</v>
      </c>
      <c r="F72" s="911"/>
      <c r="G72" s="915"/>
      <c r="H72" s="911"/>
      <c r="I72" s="911"/>
      <c r="J72" s="911"/>
    </row>
    <row r="73" spans="2:10" ht="25.5" x14ac:dyDescent="0.25">
      <c r="B73" s="753" t="s">
        <v>1519</v>
      </c>
      <c r="C73" s="752" t="s">
        <v>1519</v>
      </c>
      <c r="D73" s="754" t="s">
        <v>1521</v>
      </c>
      <c r="E73" s="370" t="s">
        <v>1522</v>
      </c>
      <c r="F73" s="752" t="s">
        <v>1001</v>
      </c>
      <c r="G73" s="752" t="s">
        <v>1001</v>
      </c>
      <c r="H73" s="751" t="s">
        <v>1008</v>
      </c>
      <c r="I73" s="751">
        <v>2009</v>
      </c>
      <c r="J73" s="751">
        <v>2401</v>
      </c>
    </row>
    <row r="75" spans="2:10" x14ac:dyDescent="0.25">
      <c r="B75" s="372"/>
    </row>
  </sheetData>
  <sheetProtection algorithmName="SHA-512" hashValue="rg6BBX32CGdJjgPHVtz5sThODnlrzY6dEVB8aQ8/ykFeq+HF3N1CZiNA8rykzxBBxPjQsMn+IVn9EZD4dBm2WQ==" saltValue="1Vw/GhynuQ3Sn4t78F+6Fw==" spinCount="100000" sheet="1" objects="1" scenarios="1"/>
  <mergeCells count="100">
    <mergeCell ref="J58:J69"/>
    <mergeCell ref="J70:J72"/>
    <mergeCell ref="F58:F69"/>
    <mergeCell ref="G58:G69"/>
    <mergeCell ref="J22:J24"/>
    <mergeCell ref="J27:J31"/>
    <mergeCell ref="J32:J33"/>
    <mergeCell ref="J34:J43"/>
    <mergeCell ref="J46:J55"/>
    <mergeCell ref="H58:H69"/>
    <mergeCell ref="H70:H72"/>
    <mergeCell ref="I22:I24"/>
    <mergeCell ref="I27:I31"/>
    <mergeCell ref="I32:I33"/>
    <mergeCell ref="I34:I43"/>
    <mergeCell ref="I46:I55"/>
    <mergeCell ref="J2:J4"/>
    <mergeCell ref="J5:J6"/>
    <mergeCell ref="J7:J9"/>
    <mergeCell ref="J16:J17"/>
    <mergeCell ref="J18:J20"/>
    <mergeCell ref="I2:I4"/>
    <mergeCell ref="I5:I6"/>
    <mergeCell ref="I7:I9"/>
    <mergeCell ref="I16:I17"/>
    <mergeCell ref="I18:I20"/>
    <mergeCell ref="I58:I69"/>
    <mergeCell ref="I70:I72"/>
    <mergeCell ref="H22:H24"/>
    <mergeCell ref="H27:H31"/>
    <mergeCell ref="H32:H33"/>
    <mergeCell ref="H34:H43"/>
    <mergeCell ref="H46:H55"/>
    <mergeCell ref="H2:H4"/>
    <mergeCell ref="H5:H6"/>
    <mergeCell ref="H7:H9"/>
    <mergeCell ref="H16:H17"/>
    <mergeCell ref="H18:H20"/>
    <mergeCell ref="G2:G4"/>
    <mergeCell ref="G46:G55"/>
    <mergeCell ref="G70:G72"/>
    <mergeCell ref="G34:G43"/>
    <mergeCell ref="G32:G33"/>
    <mergeCell ref="G27:G31"/>
    <mergeCell ref="G22:G24"/>
    <mergeCell ref="G18:G20"/>
    <mergeCell ref="G16:G17"/>
    <mergeCell ref="G7:G9"/>
    <mergeCell ref="G5:G6"/>
    <mergeCell ref="F27:F31"/>
    <mergeCell ref="F32:F33"/>
    <mergeCell ref="F34:F43"/>
    <mergeCell ref="F46:F55"/>
    <mergeCell ref="F70:F72"/>
    <mergeCell ref="F2:F4"/>
    <mergeCell ref="F5:F6"/>
    <mergeCell ref="F7:F9"/>
    <mergeCell ref="F16:F17"/>
    <mergeCell ref="F18:F20"/>
    <mergeCell ref="F22:F24"/>
    <mergeCell ref="B58:B69"/>
    <mergeCell ref="C58:C69"/>
    <mergeCell ref="D58:D69"/>
    <mergeCell ref="B70:B72"/>
    <mergeCell ref="C70:C72"/>
    <mergeCell ref="D70:D72"/>
    <mergeCell ref="B34:B45"/>
    <mergeCell ref="C34:C43"/>
    <mergeCell ref="D34:D45"/>
    <mergeCell ref="B46:B55"/>
    <mergeCell ref="C46:C55"/>
    <mergeCell ref="D46:D55"/>
    <mergeCell ref="B22:B26"/>
    <mergeCell ref="C22:C24"/>
    <mergeCell ref="D22:D26"/>
    <mergeCell ref="B12:B15"/>
    <mergeCell ref="D12:D15"/>
    <mergeCell ref="B27:B33"/>
    <mergeCell ref="C27:C31"/>
    <mergeCell ref="D27:D31"/>
    <mergeCell ref="C32:C33"/>
    <mergeCell ref="D32:D33"/>
    <mergeCell ref="B16:B20"/>
    <mergeCell ref="C16:C17"/>
    <mergeCell ref="D16:D17"/>
    <mergeCell ref="C18:C20"/>
    <mergeCell ref="D18:D20"/>
    <mergeCell ref="B10:B11"/>
    <mergeCell ref="D10:D11"/>
    <mergeCell ref="B2:B9"/>
    <mergeCell ref="C2:C4"/>
    <mergeCell ref="D2:D9"/>
    <mergeCell ref="C5:C6"/>
    <mergeCell ref="C7:C9"/>
    <mergeCell ref="E12:E13"/>
    <mergeCell ref="E14:E15"/>
    <mergeCell ref="F12:F13"/>
    <mergeCell ref="F14:F15"/>
    <mergeCell ref="G12:G13"/>
    <mergeCell ref="G14:G15"/>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2F9573-1A73-4204-8E4C-8D5E8A36E138}">
  <sheetPr codeName="Sheet20">
    <tabColor theme="0"/>
  </sheetPr>
  <dimension ref="A1:BR100"/>
  <sheetViews>
    <sheetView zoomScaleNormal="100" workbookViewId="0">
      <selection activeCell="BC2" sqref="BC2"/>
    </sheetView>
  </sheetViews>
  <sheetFormatPr defaultRowHeight="15" x14ac:dyDescent="0.25"/>
  <cols>
    <col min="1" max="1" width="10.7109375" customWidth="1"/>
    <col min="2" max="6" width="20.7109375" customWidth="1"/>
    <col min="7" max="7" width="10.7109375" customWidth="1"/>
    <col min="30" max="30" width="18.140625" customWidth="1"/>
    <col min="31" max="33" width="9.7109375" customWidth="1"/>
    <col min="62" max="62" width="10.7109375" bestFit="1" customWidth="1"/>
    <col min="70" max="70" width="12.5703125" customWidth="1"/>
  </cols>
  <sheetData>
    <row r="1" spans="1:70" ht="66" customHeight="1" x14ac:dyDescent="0.25">
      <c r="A1" s="931" t="s">
        <v>1257</v>
      </c>
      <c r="B1" s="931"/>
      <c r="C1" s="931"/>
      <c r="D1" s="931"/>
      <c r="E1" s="609" t="str">
        <f>IF(C27="UAT","(UAT)","")</f>
        <v/>
      </c>
      <c r="F1" s="610"/>
      <c r="G1" s="611"/>
      <c r="I1" s="628" t="s">
        <v>1258</v>
      </c>
      <c r="J1" s="628" t="s">
        <v>1259</v>
      </c>
      <c r="K1" s="628" t="s">
        <v>1260</v>
      </c>
      <c r="L1" s="628" t="s">
        <v>1406</v>
      </c>
      <c r="M1" s="628" t="s">
        <v>1261</v>
      </c>
      <c r="N1" s="628" t="s">
        <v>1262</v>
      </c>
      <c r="O1" s="628" t="s">
        <v>1263</v>
      </c>
      <c r="P1" s="628" t="s">
        <v>1264</v>
      </c>
      <c r="Q1" s="628" t="s">
        <v>1265</v>
      </c>
      <c r="R1" s="628" t="s">
        <v>1399</v>
      </c>
      <c r="S1" s="628" t="s">
        <v>1266</v>
      </c>
      <c r="T1" s="628" t="s">
        <v>1267</v>
      </c>
      <c r="U1" s="628" t="s">
        <v>1403</v>
      </c>
      <c r="V1" s="628" t="s">
        <v>1404</v>
      </c>
      <c r="W1" s="628" t="s">
        <v>1268</v>
      </c>
      <c r="X1" s="628" t="s">
        <v>1419</v>
      </c>
      <c r="Y1" s="628" t="s">
        <v>1269</v>
      </c>
      <c r="Z1" s="628" t="s">
        <v>1270</v>
      </c>
      <c r="AA1" s="628" t="s">
        <v>1271</v>
      </c>
      <c r="AB1" s="628" t="s">
        <v>1272</v>
      </c>
      <c r="AC1" s="628" t="s">
        <v>1273</v>
      </c>
      <c r="AD1" s="628" t="s">
        <v>1405</v>
      </c>
      <c r="AE1" s="628" t="s">
        <v>1407</v>
      </c>
      <c r="AF1" s="628" t="s">
        <v>1408</v>
      </c>
      <c r="AG1" s="628" t="s">
        <v>1409</v>
      </c>
      <c r="AH1" s="628" t="s">
        <v>1274</v>
      </c>
      <c r="AI1" s="628" t="s">
        <v>1275</v>
      </c>
      <c r="AJ1" s="628" t="s">
        <v>1276</v>
      </c>
      <c r="AK1" s="628" t="s">
        <v>1277</v>
      </c>
      <c r="AL1" s="628" t="s">
        <v>1280</v>
      </c>
      <c r="AM1" s="628" t="s">
        <v>1278</v>
      </c>
      <c r="AN1" s="628" t="s">
        <v>1279</v>
      </c>
      <c r="AO1" s="628" t="s">
        <v>1283</v>
      </c>
      <c r="AP1" s="628" t="s">
        <v>1281</v>
      </c>
      <c r="AQ1" s="628" t="s">
        <v>1282</v>
      </c>
      <c r="AR1" s="628" t="s">
        <v>1286</v>
      </c>
      <c r="AS1" s="628" t="s">
        <v>1284</v>
      </c>
      <c r="AT1" s="628" t="s">
        <v>1285</v>
      </c>
      <c r="AU1" s="628" t="s">
        <v>1289</v>
      </c>
      <c r="AV1" s="628" t="s">
        <v>1287</v>
      </c>
      <c r="AW1" s="628" t="s">
        <v>1288</v>
      </c>
      <c r="AX1" s="628" t="s">
        <v>1292</v>
      </c>
      <c r="AY1" s="628" t="s">
        <v>1290</v>
      </c>
      <c r="AZ1" s="628" t="s">
        <v>1291</v>
      </c>
      <c r="BA1" s="628" t="s">
        <v>1295</v>
      </c>
      <c r="BB1" s="628" t="s">
        <v>1293</v>
      </c>
      <c r="BC1" s="628" t="s">
        <v>1294</v>
      </c>
      <c r="BD1" s="628" t="s">
        <v>1298</v>
      </c>
      <c r="BE1" s="628" t="s">
        <v>1296</v>
      </c>
      <c r="BF1" s="628" t="s">
        <v>1297</v>
      </c>
      <c r="BG1" s="628" t="s">
        <v>1299</v>
      </c>
      <c r="BH1" s="628" t="s">
        <v>1300</v>
      </c>
      <c r="BI1" s="628" t="s">
        <v>1301</v>
      </c>
      <c r="BJ1" s="628" t="s">
        <v>1302</v>
      </c>
      <c r="BK1" s="628" t="s">
        <v>1303</v>
      </c>
      <c r="BL1" s="628" t="s">
        <v>1304</v>
      </c>
      <c r="BM1" s="628" t="s">
        <v>1305</v>
      </c>
      <c r="BN1" s="628" t="s">
        <v>1388</v>
      </c>
      <c r="BO1" s="628" t="s">
        <v>1306</v>
      </c>
      <c r="BP1" s="628" t="s">
        <v>1307</v>
      </c>
      <c r="BQ1" s="628" t="s">
        <v>1308</v>
      </c>
      <c r="BR1" s="628" t="s">
        <v>1402</v>
      </c>
    </row>
    <row r="2" spans="1:70" ht="15" customHeight="1" x14ac:dyDescent="0.25">
      <c r="A2" s="612" t="s">
        <v>1241</v>
      </c>
      <c r="B2" s="611"/>
      <c r="C2" s="611"/>
      <c r="D2" s="611"/>
      <c r="E2" s="611"/>
      <c r="F2" s="611"/>
      <c r="G2" s="613"/>
      <c r="I2">
        <f t="shared" ref="I2:I26" si="0">EAID</f>
        <v>0</v>
      </c>
      <c r="J2">
        <f t="shared" ref="J2:J26" si="1">APID</f>
        <v>0</v>
      </c>
      <c r="K2" t="e">
        <f>INDEX('Equipment Lookups'!$L$54:$AQ$67,MATCH(Inventory!Q8,'Equipment Lookups'!$J$54:$J$67,0),MATCH('Utility Admin'!$F$2&amp;DSMTEnviro,'Equipment Lookups'!$L$52:$AQ$52,0))</f>
        <v>#N/A</v>
      </c>
      <c r="L2" t="e" cm="1">
        <f t="array" ref="L2">INDEX('Equipment Lookups'!$L$54:$AQ$67,MATCH(Inventory!Q8,'Equipment Lookups'!$J$54:$J$67,0),MATCH('Utility Admin'!$F$2&amp;DSMTEnviro,'Equipment Lookups'!$L$52:$AQ$52,0)+1)</f>
        <v>#N/A</v>
      </c>
      <c r="M2">
        <f>Inventory!B8</f>
        <v>0</v>
      </c>
      <c r="N2">
        <f>Inventory!C8</f>
        <v>0</v>
      </c>
      <c r="O2">
        <f>_xlfn.NUMBERVALUE(RIGHT('Project Info'!$D$9,1))</f>
        <v>0</v>
      </c>
      <c r="P2" s="631" t="str">
        <f ca="1">Inventory!BW8</f>
        <v>-</v>
      </c>
      <c r="Q2" s="631">
        <f ca="1">IF(ISNUMBER(Inventory!BX8),Inventory!BX8,0)</f>
        <v>0</v>
      </c>
      <c r="R2" s="641">
        <f>Inventory!BY8</f>
        <v>0</v>
      </c>
      <c r="S2" s="630" t="str">
        <f ca="1">Inventory!BV8</f>
        <v>-</v>
      </c>
      <c r="T2">
        <f>0</f>
        <v>0</v>
      </c>
      <c r="U2" t="str">
        <f>IF(Inventory!D8="","",Inventory!D8)</f>
        <v/>
      </c>
      <c r="V2" t="str">
        <f>IF(Inventory!E8="","",Inventory!E8)</f>
        <v/>
      </c>
      <c r="W2" t="str">
        <f>IF(M2="Early Retirement",Inventory!G8,"")</f>
        <v/>
      </c>
      <c r="X2" t="str">
        <f>IF(Inventory!BK8&gt;0,Inventory!BK8,"")</f>
        <v/>
      </c>
      <c r="Y2" s="631" t="str">
        <f>IF(M2="Early Retirement",Inventory!DF8,"")</f>
        <v/>
      </c>
      <c r="Z2">
        <f>Inventory!M8</f>
        <v>0</v>
      </c>
      <c r="AA2">
        <f>Inventory!N8</f>
        <v>0</v>
      </c>
      <c r="AB2">
        <f>Inventory!P8</f>
        <v>0</v>
      </c>
      <c r="AC2" t="e">
        <f>IF(AND(Inventory!BU8="DX",Inventory!V8&lt;&gt;""),Inventory!V8,"")</f>
        <v>#N/A</v>
      </c>
      <c r="AD2" t="e">
        <f>IF(Inventory!BU8="PTRoom",Inventory!V8,"")</f>
        <v>#N/A</v>
      </c>
      <c r="AE2" t="e">
        <f>IF(LEFT(AD2,4)="With",IF(LEFT(AD2,18)="With Reverse Cycle","Yes","No"),"")</f>
        <v>#N/A</v>
      </c>
      <c r="AF2" t="e">
        <f>IF(LEFT(AD2,4)="With",IF(RIGHT(AD2,19)="With Louvered Sides","Yes","No"),"")</f>
        <v>#N/A</v>
      </c>
      <c r="AG2" t="e">
        <f t="shared" ref="AG2:AG6" si="2">IF(LEFT(AD2,4)="Case",IF(AD2="Casement Slider","Casement-Slider","None"),"")</f>
        <v>#N/A</v>
      </c>
      <c r="AH2" t="str">
        <f>IF(RIGHT(Inventory!Q8,7)="Chiller",Inventory!V8,"")</f>
        <v/>
      </c>
      <c r="AI2" t="str">
        <f>IF(RIGHT(Inventory!Q8,7)="Chiller",Inventory!X8,"")</f>
        <v/>
      </c>
      <c r="AJ2" t="str">
        <f>IF(M2="Early Retirement",Inventory!K8,"")</f>
        <v/>
      </c>
      <c r="AK2">
        <f>Inventory!AF8</f>
        <v>0</v>
      </c>
      <c r="AL2" t="str">
        <f>IF(AND(M2="Early Retirement",LEFT(Inventory!AC8,3)="EER"),12/Inventory!CJ8,"")</f>
        <v/>
      </c>
      <c r="AM2" t="str">
        <f>IF(LEFT(Inventory!AC8,3)="EER",12/Inventory!CG8,"")</f>
        <v/>
      </c>
      <c r="AN2" t="str">
        <f>IF(LEFT(Inventory!AC8,3)="EER",12/Inventory!CJ8,"")</f>
        <v/>
      </c>
      <c r="AO2" t="str">
        <f>IF(M2="Early Retirement",Inventory!BZ8,"")</f>
        <v/>
      </c>
      <c r="AP2" t="e">
        <f ca="1">Inventory!CG8</f>
        <v>#N/A</v>
      </c>
      <c r="AQ2" t="str">
        <f>Inventory!CJ8</f>
        <v/>
      </c>
      <c r="AR2" t="str">
        <f>IF(AND(M2="Early Retirement",OR(AND(LEFT(Inventory!AC8,3)="EER",Inventory!BN8&lt;=5.42),Inventory!Q8="Air Cooled Chiller")),12/Inventory!CA8,"")</f>
        <v/>
      </c>
      <c r="AS2" t="str">
        <f>IF(OR(AND(LEFT(Inventory!AC8,3)="EER",Inventory!BN8&lt;=5.42),Inventory!Q8="Air Cooled Chiller"),12/Inventory!CH8,"")</f>
        <v/>
      </c>
      <c r="AT2" t="str">
        <f>IF(OR(AND(LEFT(Inventory!AC8,3)="EER",Inventory!BN8&lt;=5.42),Inventory!Q8="Air Cooled Chiller"),12/Inventory!CK8,"")</f>
        <v/>
      </c>
      <c r="AU2" t="str">
        <f>IF(AND(M2="Early Retirement",RIGHT(Inventory!AC8,4)="IEER"),12/Inventory!CA8,"")</f>
        <v/>
      </c>
      <c r="AV2" t="str">
        <f>IF(RIGHT(Inventory!AC8,4)="IEER",12/Inventory!CH8,"")</f>
        <v/>
      </c>
      <c r="AW2" t="str">
        <f>IF(RIGHT(Inventory!AC8,4)="IEER",12/Inventory!CK8,"")</f>
        <v/>
      </c>
      <c r="AX2" t="str">
        <f>IF(M2="Early Retirement",Inventory!CA8,"")</f>
        <v/>
      </c>
      <c r="AY2" t="e">
        <f ca="1">Inventory!CH8</f>
        <v>#N/A</v>
      </c>
      <c r="AZ2" t="str">
        <f>Inventory!CK8</f>
        <v/>
      </c>
      <c r="BA2" t="str">
        <f>IF(AND(M2="Early Retirement",Inventory!BA8=1),12/3.412/Inventory!CB8,"")</f>
        <v/>
      </c>
      <c r="BB2" t="str">
        <f>IF(Inventory!BA8=1,12/3.412/Inventory!CI8,"")</f>
        <v/>
      </c>
      <c r="BC2" t="str">
        <f>IF(Inventory!BA8=1,12/3.412/Inventory!CL8,"")</f>
        <v/>
      </c>
      <c r="BD2" t="str">
        <f>IF(AND(M2="Early Retirement",Inventory!BA8=1,LEFT(Inventory!AE8,4)="HSPF"),12/Inventory!CB8,"")</f>
        <v/>
      </c>
      <c r="BE2" t="str">
        <f>IF(AND(Inventory!BA8=1,LEFT(Inventory!AE8,4)="HSPF"),12/Inventory!CI8,"")</f>
        <v/>
      </c>
      <c r="BF2" t="str">
        <f>IF(AND(Inventory!BA8=1,LEFT(Inventory!AE8,4)="HSPF"),12/Inventory!CL8,"")</f>
        <v/>
      </c>
      <c r="BG2" t="str">
        <f>IF(AND(M2="Early Retirement",RIGHT(Inventory!G8,7)&lt;&gt;"Chiller"),Inventory!H8*IF(Inventory!I8="Btuh",1,12000),"")</f>
        <v/>
      </c>
      <c r="BH2" t="str">
        <f>IF(M2="Early Retirement",Inventory!H8/IF(Inventory!I8="Btuh",12000,1),"")</f>
        <v/>
      </c>
      <c r="BI2">
        <f>IF(RIGHT(Inventory!Q8,7)="Chiller","",Inventory!BP8)</f>
        <v>0</v>
      </c>
      <c r="BJ2">
        <f>Inventory!BN8</f>
        <v>0</v>
      </c>
      <c r="BK2" t="str">
        <f>IF(AND(M2="Early Retirement",Inventory!BA8=1),Inventory!BQ8*12000,"")</f>
        <v/>
      </c>
      <c r="BL2" t="str">
        <f>IF(Inventory!BA8=1,Inventory!BQ8*12000,"")</f>
        <v/>
      </c>
      <c r="BM2" s="631" t="e">
        <f>Inventory!DH8</f>
        <v>#N/A</v>
      </c>
      <c r="BN2">
        <f>IF(ISNUMBER(Inventory!AN8),Inventory!AN8,0)</f>
        <v>0</v>
      </c>
      <c r="BO2">
        <f>IF(ISNUMBER(Inventory!AO8),Inventory!AO8,0)</f>
        <v>0</v>
      </c>
      <c r="BP2">
        <f>0</f>
        <v>0</v>
      </c>
      <c r="BQ2" s="631">
        <f>IF(ISNUMBER(Inventory!AP8),Inventory!AP8,0)</f>
        <v>0</v>
      </c>
      <c r="BR2" s="421">
        <f>Inventory!AQ8</f>
        <v>0</v>
      </c>
    </row>
    <row r="3" spans="1:70" ht="15" customHeight="1" x14ac:dyDescent="0.25">
      <c r="A3" s="614" t="s">
        <v>1242</v>
      </c>
      <c r="B3" s="611"/>
      <c r="C3" s="611"/>
      <c r="D3" s="611"/>
      <c r="E3" s="611"/>
      <c r="F3" s="611"/>
      <c r="G3" s="932"/>
      <c r="I3">
        <f t="shared" si="0"/>
        <v>0</v>
      </c>
      <c r="J3">
        <f t="shared" si="1"/>
        <v>0</v>
      </c>
      <c r="K3" t="e">
        <f>INDEX('Equipment Lookups'!$L$54:$AQ$67,MATCH(Inventory!Q9,'Equipment Lookups'!$J$54:$J$67,0),MATCH('Utility Admin'!$F$2&amp;DSMTEnviro,'Equipment Lookups'!$L$52:$AQ$52,0))</f>
        <v>#N/A</v>
      </c>
      <c r="L3" t="e" cm="1">
        <f t="array" ref="L3">INDEX('Equipment Lookups'!$L$54:$AQ$67,MATCH(Inventory!Q9,'Equipment Lookups'!$J$54:$J$67,0),MATCH('Utility Admin'!$F$2&amp;DSMTEnviro,'Equipment Lookups'!$L$52:$AQ$52,0)+1)</f>
        <v>#N/A</v>
      </c>
      <c r="M3">
        <f>Inventory!B9</f>
        <v>0</v>
      </c>
      <c r="N3">
        <f>Inventory!C9</f>
        <v>0</v>
      </c>
      <c r="O3">
        <f>_xlfn.NUMBERVALUE(RIGHT('Project Info'!$D$9,1))</f>
        <v>0</v>
      </c>
      <c r="P3" s="631" t="str">
        <f ca="1">Inventory!BW9</f>
        <v>-</v>
      </c>
      <c r="Q3" s="631">
        <f ca="1">IF(ISNUMBER(Inventory!BX9),Inventory!BX9,0)</f>
        <v>0</v>
      </c>
      <c r="R3" s="641">
        <f>Inventory!BY9</f>
        <v>0</v>
      </c>
      <c r="S3" s="630" t="str">
        <f ca="1">Inventory!BV9</f>
        <v>-</v>
      </c>
      <c r="T3">
        <f>0</f>
        <v>0</v>
      </c>
      <c r="U3" t="str">
        <f>IF(Inventory!D9="","",Inventory!D9)</f>
        <v/>
      </c>
      <c r="V3" t="str">
        <f>IF(Inventory!E9="","",Inventory!E9)</f>
        <v/>
      </c>
      <c r="W3" t="str">
        <f>IF(M3="Early Retirement",Inventory!G9,"")</f>
        <v/>
      </c>
      <c r="X3" t="str">
        <f>IF(Inventory!BK9&gt;0,Inventory!BK9,"")</f>
        <v/>
      </c>
      <c r="Y3" s="631" t="str">
        <f>IF(M3="Early Retirement",Inventory!DF9,"")</f>
        <v/>
      </c>
      <c r="Z3">
        <f>Inventory!M9</f>
        <v>0</v>
      </c>
      <c r="AA3">
        <f>Inventory!N9</f>
        <v>0</v>
      </c>
      <c r="AB3">
        <f>Inventory!P9</f>
        <v>0</v>
      </c>
      <c r="AC3" t="e">
        <f>IF(AND(Inventory!BU9="DX",Inventory!V9&lt;&gt;""),Inventory!V9,"")</f>
        <v>#N/A</v>
      </c>
      <c r="AD3" t="e">
        <f>IF(Inventory!BU9="PTRoom",Inventory!V9,"")</f>
        <v>#N/A</v>
      </c>
      <c r="AE3" t="e">
        <f t="shared" ref="AE3:AE26" si="3">IF(LEFT(AD3,4)="With",IF(LEFT(AD3,18)="With Reverse Cycle","Yes","No"),"")</f>
        <v>#N/A</v>
      </c>
      <c r="AF3" t="e">
        <f t="shared" ref="AF3:AF7" si="4">IF(LEFT(AD3,4)="With",IF(RIGHT(AD3,19)="With Louvered Sides","Yes","No"),"")</f>
        <v>#N/A</v>
      </c>
      <c r="AG3" t="e">
        <f t="shared" si="2"/>
        <v>#N/A</v>
      </c>
      <c r="AH3" t="str">
        <f>IF(RIGHT(Inventory!Q9,7)="Chiller",Inventory!V9,"")</f>
        <v/>
      </c>
      <c r="AI3" t="str">
        <f>IF(RIGHT(Inventory!Q9,7)="Chiller",Inventory!X9,"")</f>
        <v/>
      </c>
      <c r="AJ3" t="str">
        <f>IF(M3="Early Retirement",Inventory!K9,"")</f>
        <v/>
      </c>
      <c r="AK3">
        <f>Inventory!AF9</f>
        <v>0</v>
      </c>
      <c r="AL3" t="str">
        <f>IF(AND(M3="Early Retirement",LEFT(Inventory!AC9,3)="EER"),12/Inventory!CJ9,"")</f>
        <v/>
      </c>
      <c r="AM3" t="str">
        <f>IF(LEFT(Inventory!AC9,3)="EER",12/Inventory!CG9,"")</f>
        <v/>
      </c>
      <c r="AN3" t="str">
        <f>IF(LEFT(Inventory!AC9,3)="EER",12/Inventory!CJ9,"")</f>
        <v/>
      </c>
      <c r="AO3" t="str">
        <f>IF(M3="Early Retirement",Inventory!BZ9,"")</f>
        <v/>
      </c>
      <c r="AP3" t="e">
        <f ca="1">Inventory!CG9</f>
        <v>#N/A</v>
      </c>
      <c r="AQ3" t="str">
        <f>Inventory!CJ9</f>
        <v/>
      </c>
      <c r="AR3" t="str">
        <f>IF(AND(M3="Early Retirement",OR(AND(LEFT(Inventory!AC9,3)="EER",Inventory!BN9&lt;=5.42),Inventory!Q9="Air Cooled Chiller")),12/Inventory!CA9,"")</f>
        <v/>
      </c>
      <c r="AS3" t="str">
        <f>IF(OR(AND(LEFT(Inventory!AC9,3)="EER",Inventory!BN9&lt;=5.42),Inventory!Q9="Air Cooled Chiller"),12/Inventory!CH9,"")</f>
        <v/>
      </c>
      <c r="AT3" t="str">
        <f>IF(OR(AND(LEFT(Inventory!AC9,3)="EER",Inventory!BN9&lt;=5.42),Inventory!Q9="Air Cooled Chiller"),12/Inventory!CK9,"")</f>
        <v/>
      </c>
      <c r="AU3" t="str">
        <f>IF(AND(M3="Early Retirement",RIGHT(Inventory!AC9,4)="IEER"),12/Inventory!CA9,"")</f>
        <v/>
      </c>
      <c r="AV3" t="str">
        <f>IF(RIGHT(Inventory!AC9,4)="IEER",12/Inventory!CH9,"")</f>
        <v/>
      </c>
      <c r="AW3" t="str">
        <f>IF(RIGHT(Inventory!AC9,4)="IEER",12/Inventory!CK9,"")</f>
        <v/>
      </c>
      <c r="AX3" t="str">
        <f>IF(M3="Early Retirement",Inventory!CA9,"")</f>
        <v/>
      </c>
      <c r="AY3" t="e">
        <f ca="1">Inventory!CH9</f>
        <v>#N/A</v>
      </c>
      <c r="AZ3" t="str">
        <f>Inventory!CK9</f>
        <v/>
      </c>
      <c r="BA3" t="str">
        <f>IF(AND(M3="Early Retirement",Inventory!BA9=1),12/3.412/Inventory!CB9,"")</f>
        <v/>
      </c>
      <c r="BB3" t="str">
        <f>IF(Inventory!BA9=1,12/3.412/Inventory!CI9,"")</f>
        <v/>
      </c>
      <c r="BC3" t="str">
        <f>IF(Inventory!BA9=1,12/3.412/Inventory!CL9,"")</f>
        <v/>
      </c>
      <c r="BD3" t="str">
        <f>IF(AND(M3="Early Retirement",Inventory!BA9=1,LEFT(Inventory!AE9,4)="HSPF"),12/Inventory!CB9,"")</f>
        <v/>
      </c>
      <c r="BE3" t="str">
        <f>IF(AND(Inventory!BA9=1,LEFT(Inventory!AE9,4)="HSPF"),12/Inventory!CI9,"")</f>
        <v/>
      </c>
      <c r="BF3" t="str">
        <f>IF(AND(Inventory!BA9=1,LEFT(Inventory!AE9,4)="HSPF"),12/Inventory!CL9,"")</f>
        <v/>
      </c>
      <c r="BG3" t="str">
        <f>IF(AND(M3="Early Retirement",RIGHT(Inventory!G9,7)&lt;&gt;"Chiller"),Inventory!H9*IF(Inventory!I9="Btuh",1,12000),"")</f>
        <v/>
      </c>
      <c r="BH3" t="str">
        <f>IF(M3="Early Retirement",Inventory!H9/IF(Inventory!I9="Btuh",12000,1),"")</f>
        <v/>
      </c>
      <c r="BI3">
        <f>IF(RIGHT(Inventory!Q9,7)="Chiller","",Inventory!BP9)</f>
        <v>0</v>
      </c>
      <c r="BJ3">
        <f>Inventory!BN9</f>
        <v>0</v>
      </c>
      <c r="BK3" t="str">
        <f>IF(AND(M3="Early Retirement",Inventory!BA9=1),Inventory!BQ9*12000,"")</f>
        <v/>
      </c>
      <c r="BL3" t="str">
        <f>IF(Inventory!BA9=1,Inventory!BQ9*12000,"")</f>
        <v/>
      </c>
      <c r="BM3" s="631" t="e">
        <f>Inventory!DH9</f>
        <v>#N/A</v>
      </c>
      <c r="BN3">
        <f>IF(ISNUMBER(Inventory!AN9),Inventory!AN9,0)</f>
        <v>0</v>
      </c>
      <c r="BO3">
        <f>IF(ISNUMBER(Inventory!AO9),Inventory!AO9,0)</f>
        <v>0</v>
      </c>
      <c r="BP3">
        <f>0</f>
        <v>0</v>
      </c>
      <c r="BQ3" s="631">
        <f>IF(ISNUMBER(Inventory!AP9),Inventory!AP9,0)</f>
        <v>0</v>
      </c>
      <c r="BR3" s="421">
        <f>Inventory!AQ9</f>
        <v>0</v>
      </c>
    </row>
    <row r="4" spans="1:70" ht="15" customHeight="1" x14ac:dyDescent="0.25">
      <c r="A4" s="615"/>
      <c r="B4" s="616"/>
      <c r="C4" s="616"/>
      <c r="D4" s="616"/>
      <c r="E4" s="616"/>
      <c r="F4" s="611"/>
      <c r="G4" s="932"/>
      <c r="I4">
        <f t="shared" si="0"/>
        <v>0</v>
      </c>
      <c r="J4">
        <f t="shared" si="1"/>
        <v>0</v>
      </c>
      <c r="K4" t="e">
        <f>INDEX('Equipment Lookups'!$L$54:$AQ$67,MATCH(Inventory!Q10,'Equipment Lookups'!$J$54:$J$67,0),MATCH('Utility Admin'!$F$2&amp;DSMTEnviro,'Equipment Lookups'!$L$52:$AQ$52,0))</f>
        <v>#N/A</v>
      </c>
      <c r="L4" t="e" cm="1">
        <f t="array" ref="L4">INDEX('Equipment Lookups'!$L$54:$AQ$67,MATCH(Inventory!Q10,'Equipment Lookups'!$J$54:$J$67,0),MATCH('Utility Admin'!$F$2&amp;DSMTEnviro,'Equipment Lookups'!$L$52:$AQ$52,0)+1)</f>
        <v>#N/A</v>
      </c>
      <c r="M4">
        <f>Inventory!B10</f>
        <v>0</v>
      </c>
      <c r="N4">
        <f>Inventory!C10</f>
        <v>0</v>
      </c>
      <c r="O4">
        <f>_xlfn.NUMBERVALUE(RIGHT('Project Info'!$D$9,1))</f>
        <v>0</v>
      </c>
      <c r="P4" s="631" t="str">
        <f ca="1">Inventory!BW10</f>
        <v>-</v>
      </c>
      <c r="Q4" s="631">
        <f ca="1">IF(ISNUMBER(Inventory!BX10),Inventory!BX10,0)</f>
        <v>0</v>
      </c>
      <c r="R4" s="641">
        <f>Inventory!BY10</f>
        <v>0</v>
      </c>
      <c r="S4" s="630" t="str">
        <f ca="1">Inventory!BV10</f>
        <v>-</v>
      </c>
      <c r="T4">
        <f>0</f>
        <v>0</v>
      </c>
      <c r="U4" t="str">
        <f>IF(Inventory!D10="","",Inventory!D10)</f>
        <v/>
      </c>
      <c r="V4" t="str">
        <f>IF(Inventory!E10="","",Inventory!E10)</f>
        <v/>
      </c>
      <c r="W4" t="str">
        <f>IF(M4="Early Retirement",Inventory!G10,"")</f>
        <v/>
      </c>
      <c r="X4" t="str">
        <f>IF(Inventory!BK10&gt;0,Inventory!BK10,"")</f>
        <v/>
      </c>
      <c r="Y4" s="631" t="str">
        <f>IF(M4="Early Retirement",Inventory!DF10,"")</f>
        <v/>
      </c>
      <c r="Z4">
        <f>Inventory!M10</f>
        <v>0</v>
      </c>
      <c r="AA4">
        <f>Inventory!N10</f>
        <v>0</v>
      </c>
      <c r="AB4">
        <f>Inventory!P10</f>
        <v>0</v>
      </c>
      <c r="AC4" t="e">
        <f>IF(AND(Inventory!BU10="DX",Inventory!V10&lt;&gt;""),Inventory!V10,"")</f>
        <v>#N/A</v>
      </c>
      <c r="AD4" t="e">
        <f>IF(Inventory!BU10="PTRoom",Inventory!V10,"")</f>
        <v>#N/A</v>
      </c>
      <c r="AE4" t="e">
        <f t="shared" si="3"/>
        <v>#N/A</v>
      </c>
      <c r="AF4" t="e">
        <f t="shared" si="4"/>
        <v>#N/A</v>
      </c>
      <c r="AG4" t="e">
        <f t="shared" si="2"/>
        <v>#N/A</v>
      </c>
      <c r="AH4" t="str">
        <f>IF(RIGHT(Inventory!Q10,7)="Chiller",Inventory!V10,"")</f>
        <v/>
      </c>
      <c r="AI4" t="str">
        <f>IF(RIGHT(Inventory!Q10,7)="Chiller",Inventory!X10,"")</f>
        <v/>
      </c>
      <c r="AJ4" t="str">
        <f>IF(M4="Early Retirement",Inventory!K10,"")</f>
        <v/>
      </c>
      <c r="AK4">
        <f>Inventory!AF10</f>
        <v>0</v>
      </c>
      <c r="AL4" t="str">
        <f>IF(AND(M4="Early Retirement",LEFT(Inventory!AC10,3)="EER"),12/Inventory!CJ10,"")</f>
        <v/>
      </c>
      <c r="AM4" t="str">
        <f>IF(LEFT(Inventory!AC10,3)="EER",12/Inventory!CG10,"")</f>
        <v/>
      </c>
      <c r="AN4" t="str">
        <f>IF(LEFT(Inventory!AC10,3)="EER",12/Inventory!CJ10,"")</f>
        <v/>
      </c>
      <c r="AO4" t="str">
        <f>IF(M4="Early Retirement",Inventory!BZ10,"")</f>
        <v/>
      </c>
      <c r="AP4" t="e">
        <f ca="1">Inventory!CG10</f>
        <v>#N/A</v>
      </c>
      <c r="AQ4" t="str">
        <f>Inventory!CJ10</f>
        <v/>
      </c>
      <c r="AR4" t="str">
        <f>IF(AND(M4="Early Retirement",OR(AND(LEFT(Inventory!AC10,3)="EER",Inventory!BN10&lt;=5.42),Inventory!Q10="Air Cooled Chiller")),12/Inventory!CA10,"")</f>
        <v/>
      </c>
      <c r="AS4" t="str">
        <f>IF(OR(AND(LEFT(Inventory!AC10,3)="EER",Inventory!BN10&lt;=5.42),Inventory!Q10="Air Cooled Chiller"),12/Inventory!CH10,"")</f>
        <v/>
      </c>
      <c r="AT4" t="str">
        <f>IF(OR(AND(LEFT(Inventory!AC10,3)="EER",Inventory!BN10&lt;=5.42),Inventory!Q10="Air Cooled Chiller"),12/Inventory!CK10,"")</f>
        <v/>
      </c>
      <c r="AU4" t="str">
        <f>IF(AND(M4="Early Retirement",RIGHT(Inventory!AC10,4)="IEER"),12/Inventory!CA10,"")</f>
        <v/>
      </c>
      <c r="AV4" t="str">
        <f>IF(RIGHT(Inventory!AC10,4)="IEER",12/Inventory!CH10,"")</f>
        <v/>
      </c>
      <c r="AW4" t="str">
        <f>IF(RIGHT(Inventory!AC10,4)="IEER",12/Inventory!CK10,"")</f>
        <v/>
      </c>
      <c r="AX4" t="str">
        <f>IF(M4="Early Retirement",Inventory!CA10,"")</f>
        <v/>
      </c>
      <c r="AY4" t="e">
        <f ca="1">Inventory!CH10</f>
        <v>#N/A</v>
      </c>
      <c r="AZ4" t="str">
        <f>Inventory!CK10</f>
        <v/>
      </c>
      <c r="BA4" t="str">
        <f>IF(AND(M4="Early Retirement",Inventory!BA10=1),12/3.412/Inventory!CB10,"")</f>
        <v/>
      </c>
      <c r="BB4" t="str">
        <f>IF(Inventory!BA10=1,12/3.412/Inventory!CI10,"")</f>
        <v/>
      </c>
      <c r="BC4" t="str">
        <f>IF(Inventory!BA10=1,12/3.412/Inventory!CL10,"")</f>
        <v/>
      </c>
      <c r="BD4" t="str">
        <f>IF(AND(M4="Early Retirement",Inventory!BA10=1,LEFT(Inventory!AE10,4)="HSPF"),12/Inventory!CB10,"")</f>
        <v/>
      </c>
      <c r="BE4" t="str">
        <f>IF(AND(Inventory!BA10=1,LEFT(Inventory!AE10,4)="HSPF"),12/Inventory!CI10,"")</f>
        <v/>
      </c>
      <c r="BF4" t="str">
        <f>IF(AND(Inventory!BA10=1,LEFT(Inventory!AE10,4)="HSPF"),12/Inventory!CL10,"")</f>
        <v/>
      </c>
      <c r="BG4" t="str">
        <f>IF(AND(M4="Early Retirement",RIGHT(Inventory!G10,7)&lt;&gt;"Chiller"),Inventory!H10*IF(Inventory!I10="Btuh",1,12000),"")</f>
        <v/>
      </c>
      <c r="BH4" t="str">
        <f>IF(M4="Early Retirement",Inventory!H10/IF(Inventory!I10="Btuh",12000,1),"")</f>
        <v/>
      </c>
      <c r="BI4">
        <f>IF(RIGHT(Inventory!Q10,7)="Chiller","",Inventory!BP10)</f>
        <v>0</v>
      </c>
      <c r="BJ4">
        <f>Inventory!BN10</f>
        <v>0</v>
      </c>
      <c r="BK4" t="str">
        <f>IF(AND(M4="Early Retirement",Inventory!BA10=1),Inventory!BQ10*12000,"")</f>
        <v/>
      </c>
      <c r="BL4" t="str">
        <f>IF(Inventory!BA10=1,Inventory!BQ10*12000,"")</f>
        <v/>
      </c>
      <c r="BM4" s="631" t="e">
        <f>Inventory!DH10</f>
        <v>#N/A</v>
      </c>
      <c r="BN4">
        <f>IF(ISNUMBER(Inventory!AN10),Inventory!AN10,0)</f>
        <v>0</v>
      </c>
      <c r="BO4">
        <f>IF(ISNUMBER(Inventory!AO10),Inventory!AO10,0)</f>
        <v>0</v>
      </c>
      <c r="BP4">
        <f>0</f>
        <v>0</v>
      </c>
      <c r="BQ4" s="631">
        <f>IF(ISNUMBER(Inventory!AP10),Inventory!AP10,0)</f>
        <v>0</v>
      </c>
      <c r="BR4" s="421">
        <f>Inventory!AQ10</f>
        <v>0</v>
      </c>
    </row>
    <row r="5" spans="1:70" x14ac:dyDescent="0.25">
      <c r="A5" s="617"/>
      <c r="B5" s="618" t="s">
        <v>1243</v>
      </c>
      <c r="C5" s="619"/>
      <c r="D5" s="611"/>
      <c r="E5" s="611"/>
      <c r="F5" s="611"/>
      <c r="G5" s="611"/>
      <c r="I5">
        <f t="shared" si="0"/>
        <v>0</v>
      </c>
      <c r="J5">
        <f t="shared" si="1"/>
        <v>0</v>
      </c>
      <c r="K5" t="e">
        <f>INDEX('Equipment Lookups'!$L$54:$AQ$67,MATCH(Inventory!Q11,'Equipment Lookups'!$J$54:$J$67,0),MATCH('Utility Admin'!$F$2&amp;DSMTEnviro,'Equipment Lookups'!$L$52:$AQ$52,0))</f>
        <v>#N/A</v>
      </c>
      <c r="L5" t="e" cm="1">
        <f t="array" ref="L5">INDEX('Equipment Lookups'!$L$54:$AQ$67,MATCH(Inventory!Q11,'Equipment Lookups'!$J$54:$J$67,0),MATCH('Utility Admin'!$F$2&amp;DSMTEnviro,'Equipment Lookups'!$L$52:$AQ$52,0)+1)</f>
        <v>#N/A</v>
      </c>
      <c r="M5">
        <f>Inventory!B11</f>
        <v>0</v>
      </c>
      <c r="N5">
        <f>Inventory!C11</f>
        <v>0</v>
      </c>
      <c r="O5">
        <f>_xlfn.NUMBERVALUE(RIGHT('Project Info'!$D$9,1))</f>
        <v>0</v>
      </c>
      <c r="P5" s="631" t="str">
        <f ca="1">Inventory!BW11</f>
        <v>-</v>
      </c>
      <c r="Q5" s="631">
        <f ca="1">IF(ISNUMBER(Inventory!BX11),Inventory!BX11,0)</f>
        <v>0</v>
      </c>
      <c r="R5" s="641">
        <f>Inventory!BY11</f>
        <v>0</v>
      </c>
      <c r="S5" s="630" t="str">
        <f ca="1">Inventory!BV11</f>
        <v>-</v>
      </c>
      <c r="T5">
        <f>0</f>
        <v>0</v>
      </c>
      <c r="U5" t="str">
        <f>IF(Inventory!D11="","",Inventory!D11)</f>
        <v/>
      </c>
      <c r="V5" t="str">
        <f>IF(Inventory!E11="","",Inventory!E11)</f>
        <v/>
      </c>
      <c r="W5" t="str">
        <f>IF(M5="Early Retirement",Inventory!G11,"")</f>
        <v/>
      </c>
      <c r="X5" t="str">
        <f>IF(Inventory!BK11&gt;0,Inventory!BK11,"")</f>
        <v/>
      </c>
      <c r="Y5" s="631" t="str">
        <f>IF(M5="Early Retirement",Inventory!DF11,"")</f>
        <v/>
      </c>
      <c r="Z5">
        <f>Inventory!M11</f>
        <v>0</v>
      </c>
      <c r="AA5">
        <f>Inventory!N11</f>
        <v>0</v>
      </c>
      <c r="AB5">
        <f>Inventory!P11</f>
        <v>0</v>
      </c>
      <c r="AC5" t="e">
        <f>IF(AND(Inventory!BU11="DX",Inventory!V11&lt;&gt;""),Inventory!V11,"")</f>
        <v>#N/A</v>
      </c>
      <c r="AD5" t="e">
        <f>IF(Inventory!BU11="PTRoom",Inventory!V11,"")</f>
        <v>#N/A</v>
      </c>
      <c r="AE5" t="e">
        <f t="shared" si="3"/>
        <v>#N/A</v>
      </c>
      <c r="AF5" t="e">
        <f t="shared" si="4"/>
        <v>#N/A</v>
      </c>
      <c r="AG5" t="e">
        <f t="shared" si="2"/>
        <v>#N/A</v>
      </c>
      <c r="AH5" t="str">
        <f>IF(RIGHT(Inventory!Q11,7)="Chiller",Inventory!V11,"")</f>
        <v/>
      </c>
      <c r="AI5" t="str">
        <f>IF(RIGHT(Inventory!Q11,7)="Chiller",Inventory!X11,"")</f>
        <v/>
      </c>
      <c r="AJ5" t="str">
        <f>IF(M5="Early Retirement",Inventory!K11,"")</f>
        <v/>
      </c>
      <c r="AK5">
        <f>Inventory!AF11</f>
        <v>0</v>
      </c>
      <c r="AL5" t="str">
        <f>IF(AND(M5="Early Retirement",LEFT(Inventory!AC11,3)="EER"),12/Inventory!CJ11,"")</f>
        <v/>
      </c>
      <c r="AM5" t="str">
        <f>IF(LEFT(Inventory!AC11,3)="EER",12/Inventory!CG11,"")</f>
        <v/>
      </c>
      <c r="AN5" t="str">
        <f>IF(LEFT(Inventory!AC11,3)="EER",12/Inventory!CJ11,"")</f>
        <v/>
      </c>
      <c r="AO5" t="str">
        <f>IF(M5="Early Retirement",Inventory!BZ11,"")</f>
        <v/>
      </c>
      <c r="AP5" t="e">
        <f ca="1">Inventory!CG11</f>
        <v>#N/A</v>
      </c>
      <c r="AQ5" t="str">
        <f>Inventory!CJ11</f>
        <v/>
      </c>
      <c r="AR5" t="str">
        <f>IF(AND(M5="Early Retirement",OR(AND(LEFT(Inventory!AC11,3)="EER",Inventory!BN11&lt;=5.42),Inventory!Q11="Air Cooled Chiller")),12/Inventory!CA11,"")</f>
        <v/>
      </c>
      <c r="AS5" t="str">
        <f>IF(OR(AND(LEFT(Inventory!AC11,3)="EER",Inventory!BN11&lt;=5.42),Inventory!Q11="Air Cooled Chiller"),12/Inventory!CH11,"")</f>
        <v/>
      </c>
      <c r="AT5" t="str">
        <f>IF(OR(AND(LEFT(Inventory!AC11,3)="EER",Inventory!BN11&lt;=5.42),Inventory!Q11="Air Cooled Chiller"),12/Inventory!CK11,"")</f>
        <v/>
      </c>
      <c r="AU5" t="str">
        <f>IF(AND(M5="Early Retirement",RIGHT(Inventory!AC11,4)="IEER"),12/Inventory!CA11,"")</f>
        <v/>
      </c>
      <c r="AV5" t="str">
        <f>IF(RIGHT(Inventory!AC11,4)="IEER",12/Inventory!CH11,"")</f>
        <v/>
      </c>
      <c r="AW5" t="str">
        <f>IF(RIGHT(Inventory!AC11,4)="IEER",12/Inventory!CK11,"")</f>
        <v/>
      </c>
      <c r="AX5" t="str">
        <f>IF(M5="Early Retirement",Inventory!CA11,"")</f>
        <v/>
      </c>
      <c r="AY5" t="e">
        <f ca="1">Inventory!CH11</f>
        <v>#N/A</v>
      </c>
      <c r="AZ5" t="str">
        <f>Inventory!CK11</f>
        <v/>
      </c>
      <c r="BA5" t="str">
        <f>IF(AND(M5="Early Retirement",Inventory!BA11=1),12/3.412/Inventory!CB11,"")</f>
        <v/>
      </c>
      <c r="BB5" t="str">
        <f>IF(Inventory!BA11=1,12/3.412/Inventory!CI11,"")</f>
        <v/>
      </c>
      <c r="BC5" t="str">
        <f>IF(Inventory!BA11=1,12/3.412/Inventory!CL11,"")</f>
        <v/>
      </c>
      <c r="BD5" t="str">
        <f>IF(AND(M5="Early Retirement",Inventory!BA11=1,LEFT(Inventory!AE11,4)="HSPF"),12/Inventory!CB11,"")</f>
        <v/>
      </c>
      <c r="BE5" t="str">
        <f>IF(AND(Inventory!BA11=1,LEFT(Inventory!AE11,4)="HSPF"),12/Inventory!CI11,"")</f>
        <v/>
      </c>
      <c r="BF5" t="str">
        <f>IF(AND(Inventory!BA11=1,LEFT(Inventory!AE11,4)="HSPF"),12/Inventory!CL11,"")</f>
        <v/>
      </c>
      <c r="BG5" t="str">
        <f>IF(AND(M5="Early Retirement",RIGHT(Inventory!G11,7)&lt;&gt;"Chiller"),Inventory!H11*IF(Inventory!I11="Btuh",1,12000),"")</f>
        <v/>
      </c>
      <c r="BH5" t="str">
        <f>IF(M5="Early Retirement",Inventory!H11/IF(Inventory!I11="Btuh",12000,1),"")</f>
        <v/>
      </c>
      <c r="BI5">
        <f>IF(RIGHT(Inventory!Q11,7)="Chiller","",Inventory!BP11)</f>
        <v>0</v>
      </c>
      <c r="BJ5">
        <f>Inventory!BN11</f>
        <v>0</v>
      </c>
      <c r="BK5" t="str">
        <f>IF(AND(M5="Early Retirement",Inventory!BA11=1),Inventory!BQ11*12000,"")</f>
        <v/>
      </c>
      <c r="BL5" t="str">
        <f>IF(Inventory!BA11=1,Inventory!BQ11*12000,"")</f>
        <v/>
      </c>
      <c r="BM5" s="631" t="e">
        <f>Inventory!DH11</f>
        <v>#N/A</v>
      </c>
      <c r="BN5">
        <f>IF(ISNUMBER(Inventory!AN11),Inventory!AN11,0)</f>
        <v>0</v>
      </c>
      <c r="BO5">
        <f>IF(ISNUMBER(Inventory!AO11),Inventory!AO11,0)</f>
        <v>0</v>
      </c>
      <c r="BP5">
        <f>0</f>
        <v>0</v>
      </c>
      <c r="BQ5" s="631">
        <f>IF(ISNUMBER(Inventory!AP11),Inventory!AP11,0)</f>
        <v>0</v>
      </c>
      <c r="BR5" s="421">
        <f>Inventory!AQ11</f>
        <v>0</v>
      </c>
    </row>
    <row r="6" spans="1:70" x14ac:dyDescent="0.25">
      <c r="A6" s="617"/>
      <c r="B6" s="620" t="s">
        <v>1244</v>
      </c>
      <c r="C6" s="619"/>
      <c r="D6" s="611"/>
      <c r="E6" s="611"/>
      <c r="F6" s="611"/>
      <c r="G6" s="611"/>
      <c r="I6">
        <f t="shared" si="0"/>
        <v>0</v>
      </c>
      <c r="J6">
        <f t="shared" si="1"/>
        <v>0</v>
      </c>
      <c r="K6" t="e">
        <f>INDEX('Equipment Lookups'!$L$54:$AQ$67,MATCH(Inventory!Q12,'Equipment Lookups'!$J$54:$J$67,0),MATCH('Utility Admin'!$F$2&amp;DSMTEnviro,'Equipment Lookups'!$L$52:$AQ$52,0))</f>
        <v>#N/A</v>
      </c>
      <c r="L6" t="e" cm="1">
        <f t="array" ref="L6">INDEX('Equipment Lookups'!$L$54:$AQ$67,MATCH(Inventory!Q12,'Equipment Lookups'!$J$54:$J$67,0),MATCH('Utility Admin'!$F$2&amp;DSMTEnviro,'Equipment Lookups'!$L$52:$AQ$52,0)+1)</f>
        <v>#N/A</v>
      </c>
      <c r="M6">
        <f>Inventory!B12</f>
        <v>0</v>
      </c>
      <c r="N6">
        <f>Inventory!C12</f>
        <v>0</v>
      </c>
      <c r="O6">
        <f>_xlfn.NUMBERVALUE(RIGHT('Project Info'!$D$9,1))</f>
        <v>0</v>
      </c>
      <c r="P6" s="631" t="str">
        <f ca="1">Inventory!BW12</f>
        <v>-</v>
      </c>
      <c r="Q6" s="631">
        <f ca="1">IF(ISNUMBER(Inventory!BX12),Inventory!BX12,0)</f>
        <v>0</v>
      </c>
      <c r="R6" s="641">
        <f>Inventory!BY12</f>
        <v>0</v>
      </c>
      <c r="S6" s="630" t="str">
        <f ca="1">Inventory!BV12</f>
        <v>-</v>
      </c>
      <c r="T6">
        <f>0</f>
        <v>0</v>
      </c>
      <c r="U6" t="str">
        <f>IF(Inventory!D12="","",Inventory!D12)</f>
        <v/>
      </c>
      <c r="V6" t="str">
        <f>IF(Inventory!E12="","",Inventory!E12)</f>
        <v/>
      </c>
      <c r="W6" t="str">
        <f>IF(M6="Early Retirement",Inventory!G12,"")</f>
        <v/>
      </c>
      <c r="X6" t="str">
        <f>IF(Inventory!BK12&gt;0,Inventory!BK12,"")</f>
        <v/>
      </c>
      <c r="Y6" s="631" t="str">
        <f>IF(M6="Early Retirement",Inventory!DF12,"")</f>
        <v/>
      </c>
      <c r="Z6">
        <f>Inventory!M12</f>
        <v>0</v>
      </c>
      <c r="AA6">
        <f>Inventory!N12</f>
        <v>0</v>
      </c>
      <c r="AB6">
        <f>Inventory!P12</f>
        <v>0</v>
      </c>
      <c r="AC6" t="e">
        <f>IF(AND(Inventory!BU12="DX",Inventory!V12&lt;&gt;""),Inventory!V12,"")</f>
        <v>#N/A</v>
      </c>
      <c r="AD6" t="e">
        <f>IF(Inventory!BU12="PTRoom",Inventory!V12,"")</f>
        <v>#N/A</v>
      </c>
      <c r="AE6" t="e">
        <f t="shared" si="3"/>
        <v>#N/A</v>
      </c>
      <c r="AF6" t="e">
        <f t="shared" si="4"/>
        <v>#N/A</v>
      </c>
      <c r="AG6" t="e">
        <f t="shared" si="2"/>
        <v>#N/A</v>
      </c>
      <c r="AH6" t="str">
        <f>IF(RIGHT(Inventory!Q12,7)="Chiller",Inventory!V12,"")</f>
        <v/>
      </c>
      <c r="AI6" t="str">
        <f>IF(RIGHT(Inventory!Q12,7)="Chiller",Inventory!X12,"")</f>
        <v/>
      </c>
      <c r="AJ6" t="str">
        <f>IF(M6="Early Retirement",Inventory!K12,"")</f>
        <v/>
      </c>
      <c r="AK6">
        <f>Inventory!AF12</f>
        <v>0</v>
      </c>
      <c r="AL6" t="str">
        <f>IF(AND(M6="Early Retirement",LEFT(Inventory!AC12,3)="EER"),12/Inventory!CJ12,"")</f>
        <v/>
      </c>
      <c r="AM6" t="str">
        <f>IF(LEFT(Inventory!AC12,3)="EER",12/Inventory!CG12,"")</f>
        <v/>
      </c>
      <c r="AN6" t="str">
        <f>IF(LEFT(Inventory!AC12,3)="EER",12/Inventory!CJ12,"")</f>
        <v/>
      </c>
      <c r="AO6" t="str">
        <f>IF(M6="Early Retirement",Inventory!BZ12,"")</f>
        <v/>
      </c>
      <c r="AP6" t="e">
        <f ca="1">Inventory!CG12</f>
        <v>#N/A</v>
      </c>
      <c r="AQ6" t="str">
        <f>Inventory!CJ12</f>
        <v/>
      </c>
      <c r="AR6" t="str">
        <f>IF(AND(M6="Early Retirement",OR(AND(LEFT(Inventory!AC12,3)="EER",Inventory!BN12&lt;=5.42),Inventory!Q12="Air Cooled Chiller")),12/Inventory!CA12,"")</f>
        <v/>
      </c>
      <c r="AS6" t="str">
        <f>IF(OR(AND(LEFT(Inventory!AC12,3)="EER",Inventory!BN12&lt;=5.42),Inventory!Q12="Air Cooled Chiller"),12/Inventory!CH12,"")</f>
        <v/>
      </c>
      <c r="AT6" t="str">
        <f>IF(OR(AND(LEFT(Inventory!AC12,3)="EER",Inventory!BN12&lt;=5.42),Inventory!Q12="Air Cooled Chiller"),12/Inventory!CK12,"")</f>
        <v/>
      </c>
      <c r="AU6" t="str">
        <f>IF(AND(M6="Early Retirement",RIGHT(Inventory!AC12,4)="IEER"),12/Inventory!CA12,"")</f>
        <v/>
      </c>
      <c r="AV6" t="str">
        <f>IF(RIGHT(Inventory!AC12,4)="IEER",12/Inventory!CH12,"")</f>
        <v/>
      </c>
      <c r="AW6" t="str">
        <f>IF(RIGHT(Inventory!AC12,4)="IEER",12/Inventory!CK12,"")</f>
        <v/>
      </c>
      <c r="AX6" t="str">
        <f>IF(M6="Early Retirement",Inventory!CA12,"")</f>
        <v/>
      </c>
      <c r="AY6" t="e">
        <f ca="1">Inventory!CH12</f>
        <v>#N/A</v>
      </c>
      <c r="AZ6" t="str">
        <f>Inventory!CK12</f>
        <v/>
      </c>
      <c r="BA6" t="str">
        <f>IF(AND(M6="Early Retirement",Inventory!BA12=1),12/3.412/Inventory!CB12,"")</f>
        <v/>
      </c>
      <c r="BB6" t="str">
        <f>IF(Inventory!BA12=1,12/3.412/Inventory!CI12,"")</f>
        <v/>
      </c>
      <c r="BC6" t="str">
        <f>IF(Inventory!BA12=1,12/3.412/Inventory!CL12,"")</f>
        <v/>
      </c>
      <c r="BD6" t="str">
        <f>IF(AND(M6="Early Retirement",Inventory!BA12=1,LEFT(Inventory!AE12,4)="HSPF"),12/Inventory!CB12,"")</f>
        <v/>
      </c>
      <c r="BE6" t="str">
        <f>IF(AND(Inventory!BA12=1,LEFT(Inventory!AE12,4)="HSPF"),12/Inventory!CI12,"")</f>
        <v/>
      </c>
      <c r="BF6" t="str">
        <f>IF(AND(Inventory!BA12=1,LEFT(Inventory!AE12,4)="HSPF"),12/Inventory!CL12,"")</f>
        <v/>
      </c>
      <c r="BG6" t="str">
        <f>IF(AND(M6="Early Retirement",RIGHT(Inventory!G12,7)&lt;&gt;"Chiller"),Inventory!H12*IF(Inventory!I12="Btuh",1,12000),"")</f>
        <v/>
      </c>
      <c r="BH6" t="str">
        <f>IF(M6="Early Retirement",Inventory!H12/IF(Inventory!I12="Btuh",12000,1),"")</f>
        <v/>
      </c>
      <c r="BI6">
        <f>IF(RIGHT(Inventory!Q12,7)="Chiller","",Inventory!BP12)</f>
        <v>0</v>
      </c>
      <c r="BJ6">
        <f>Inventory!BN12</f>
        <v>0</v>
      </c>
      <c r="BK6" t="str">
        <f>IF(AND(M6="Early Retirement",Inventory!BA12=1),Inventory!BQ12*12000,"")</f>
        <v/>
      </c>
      <c r="BL6" t="str">
        <f>IF(Inventory!BA12=1,Inventory!BQ12*12000,"")</f>
        <v/>
      </c>
      <c r="BM6" s="631" t="e">
        <f>Inventory!DH12</f>
        <v>#N/A</v>
      </c>
      <c r="BN6">
        <f>IF(ISNUMBER(Inventory!AN12),Inventory!AN12,0)</f>
        <v>0</v>
      </c>
      <c r="BO6">
        <f>IF(ISNUMBER(Inventory!AO12),Inventory!AO12,0)</f>
        <v>0</v>
      </c>
      <c r="BP6">
        <f>0</f>
        <v>0</v>
      </c>
      <c r="BQ6" s="631">
        <f>IF(ISNUMBER(Inventory!AP12),Inventory!AP12,0)</f>
        <v>0</v>
      </c>
      <c r="BR6" s="421">
        <f>Inventory!AQ12</f>
        <v>0</v>
      </c>
    </row>
    <row r="7" spans="1:70" x14ac:dyDescent="0.25">
      <c r="A7" s="611"/>
      <c r="B7" s="611"/>
      <c r="C7" s="611"/>
      <c r="D7" s="611"/>
      <c r="E7" s="611"/>
      <c r="F7" s="611"/>
      <c r="G7" s="611"/>
      <c r="I7">
        <f t="shared" si="0"/>
        <v>0</v>
      </c>
      <c r="J7">
        <f t="shared" si="1"/>
        <v>0</v>
      </c>
      <c r="K7" t="e">
        <f>INDEX('Equipment Lookups'!$L$54:$AQ$67,MATCH(Inventory!Q13,'Equipment Lookups'!$J$54:$J$67,0),MATCH('Utility Admin'!$F$2&amp;DSMTEnviro,'Equipment Lookups'!$L$52:$AQ$52,0))</f>
        <v>#N/A</v>
      </c>
      <c r="L7" t="e" cm="1">
        <f t="array" ref="L7">INDEX('Equipment Lookups'!$L$54:$AQ$67,MATCH(Inventory!Q13,'Equipment Lookups'!$J$54:$J$67,0),MATCH('Utility Admin'!$F$2&amp;DSMTEnviro,'Equipment Lookups'!$L$52:$AQ$52,0)+1)</f>
        <v>#N/A</v>
      </c>
      <c r="M7">
        <f>Inventory!B13</f>
        <v>0</v>
      </c>
      <c r="N7">
        <f>Inventory!C13</f>
        <v>0</v>
      </c>
      <c r="O7">
        <f>_xlfn.NUMBERVALUE(RIGHT('Project Info'!$D$9,1))</f>
        <v>0</v>
      </c>
      <c r="P7" s="631" t="str">
        <f ca="1">Inventory!BW13</f>
        <v>-</v>
      </c>
      <c r="Q7" s="631">
        <f ca="1">IF(ISNUMBER(Inventory!BX13),Inventory!BX13,0)</f>
        <v>0</v>
      </c>
      <c r="R7" s="641">
        <f>Inventory!BY13</f>
        <v>0</v>
      </c>
      <c r="S7" s="630" t="str">
        <f ca="1">Inventory!BV13</f>
        <v>-</v>
      </c>
      <c r="T7">
        <f>0</f>
        <v>0</v>
      </c>
      <c r="U7" t="str">
        <f>IF(Inventory!D13="","",Inventory!D13)</f>
        <v/>
      </c>
      <c r="V7" t="str">
        <f>IF(Inventory!E13="","",Inventory!E13)</f>
        <v/>
      </c>
      <c r="W7" t="str">
        <f>IF(M7="Early Retirement",Inventory!G13,"")</f>
        <v/>
      </c>
      <c r="X7" t="str">
        <f>IF(Inventory!BK13&gt;0,Inventory!BK13,"")</f>
        <v/>
      </c>
      <c r="Y7" s="631" t="str">
        <f>IF(M7="Early Retirement",Inventory!DF13,"")</f>
        <v/>
      </c>
      <c r="Z7">
        <f>Inventory!M13</f>
        <v>0</v>
      </c>
      <c r="AA7">
        <f>Inventory!N13</f>
        <v>0</v>
      </c>
      <c r="AB7">
        <f>Inventory!P13</f>
        <v>0</v>
      </c>
      <c r="AC7" t="e">
        <f>IF(AND(Inventory!BU13="DX",Inventory!V13&lt;&gt;""),Inventory!V13,"")</f>
        <v>#N/A</v>
      </c>
      <c r="AD7" t="e">
        <f>IF(Inventory!BU13="PTRoom",Inventory!V13,"")</f>
        <v>#N/A</v>
      </c>
      <c r="AE7" t="e">
        <f t="shared" si="3"/>
        <v>#N/A</v>
      </c>
      <c r="AF7" t="e">
        <f t="shared" si="4"/>
        <v>#N/A</v>
      </c>
      <c r="AG7" t="e">
        <f>IF(LEFT(AD7,4)="Case",IF(AD7="Casement Slider","Casement-Slider","None"),"")</f>
        <v>#N/A</v>
      </c>
      <c r="AH7" t="str">
        <f>IF(RIGHT(Inventory!Q13,7)="Chiller",Inventory!V13,"")</f>
        <v/>
      </c>
      <c r="AI7" t="str">
        <f>IF(RIGHT(Inventory!Q13,7)="Chiller",Inventory!X13,"")</f>
        <v/>
      </c>
      <c r="AJ7" t="str">
        <f>IF(M7="Early Retirement",Inventory!K13,"")</f>
        <v/>
      </c>
      <c r="AK7">
        <f>Inventory!AF13</f>
        <v>0</v>
      </c>
      <c r="AL7" t="str">
        <f>IF(AND(M7="Early Retirement",LEFT(Inventory!AC13,3)="EER"),12/Inventory!CJ13,"")</f>
        <v/>
      </c>
      <c r="AM7" t="str">
        <f>IF(LEFT(Inventory!AC13,3)="EER",12/Inventory!CG13,"")</f>
        <v/>
      </c>
      <c r="AN7" t="str">
        <f>IF(LEFT(Inventory!AC13,3)="EER",12/Inventory!CJ13,"")</f>
        <v/>
      </c>
      <c r="AO7" t="str">
        <f>IF(M7="Early Retirement",Inventory!BZ13,"")</f>
        <v/>
      </c>
      <c r="AP7" t="e">
        <f ca="1">Inventory!CG13</f>
        <v>#N/A</v>
      </c>
      <c r="AQ7" t="str">
        <f>Inventory!CJ13</f>
        <v/>
      </c>
      <c r="AR7" t="str">
        <f>IF(AND(M7="Early Retirement",OR(AND(LEFT(Inventory!AC13,3)="EER",Inventory!BN13&lt;=5.42),Inventory!Q13="Air Cooled Chiller")),12/Inventory!CA13,"")</f>
        <v/>
      </c>
      <c r="AS7" t="str">
        <f>IF(OR(AND(LEFT(Inventory!AC13,3)="EER",Inventory!BN13&lt;=5.42),Inventory!Q13="Air Cooled Chiller"),12/Inventory!CH13,"")</f>
        <v/>
      </c>
      <c r="AT7" t="str">
        <f>IF(OR(AND(LEFT(Inventory!AC13,3)="EER",Inventory!BN13&lt;=5.42),Inventory!Q13="Air Cooled Chiller"),12/Inventory!CK13,"")</f>
        <v/>
      </c>
      <c r="AU7" t="str">
        <f>IF(AND(M7="Early Retirement",RIGHT(Inventory!AC13,4)="IEER"),12/Inventory!CA13,"")</f>
        <v/>
      </c>
      <c r="AV7" t="str">
        <f>IF(RIGHT(Inventory!AC13,4)="IEER",12/Inventory!CH13,"")</f>
        <v/>
      </c>
      <c r="AW7" t="str">
        <f>IF(RIGHT(Inventory!AC13,4)="IEER",12/Inventory!CK13,"")</f>
        <v/>
      </c>
      <c r="AX7" t="str">
        <f>IF(M7="Early Retirement",Inventory!CA13,"")</f>
        <v/>
      </c>
      <c r="AY7" t="e">
        <f ca="1">Inventory!CH13</f>
        <v>#N/A</v>
      </c>
      <c r="AZ7" t="str">
        <f>Inventory!CK13</f>
        <v/>
      </c>
      <c r="BA7" t="str">
        <f>IF(AND(M7="Early Retirement",Inventory!BA13=1),12/3.412/Inventory!CB13,"")</f>
        <v/>
      </c>
      <c r="BB7" t="str">
        <f>IF(Inventory!BA13=1,12/3.412/Inventory!CI13,"")</f>
        <v/>
      </c>
      <c r="BC7" t="str">
        <f>IF(Inventory!BA13=1,12/3.412/Inventory!CL13,"")</f>
        <v/>
      </c>
      <c r="BD7" t="str">
        <f>IF(AND(M7="Early Retirement",Inventory!BA13=1,LEFT(Inventory!AE13,4)="HSPF"),12/Inventory!CB13,"")</f>
        <v/>
      </c>
      <c r="BE7" t="str">
        <f>IF(AND(Inventory!BA13=1,LEFT(Inventory!AE13,4)="HSPF"),12/Inventory!CI13,"")</f>
        <v/>
      </c>
      <c r="BF7" t="str">
        <f>IF(AND(Inventory!BA13=1,LEFT(Inventory!AE13,4)="HSPF"),12/Inventory!CL13,"")</f>
        <v/>
      </c>
      <c r="BG7" t="str">
        <f>IF(AND(M7="Early Retirement",RIGHT(Inventory!G13,7)&lt;&gt;"Chiller"),Inventory!H13*IF(Inventory!I13="Btuh",1,12000),"")</f>
        <v/>
      </c>
      <c r="BH7" t="str">
        <f>IF(M7="Early Retirement",Inventory!H13/IF(Inventory!I13="Btuh",12000,1),"")</f>
        <v/>
      </c>
      <c r="BI7">
        <f>IF(RIGHT(Inventory!Q13,7)="Chiller","",Inventory!BP13)</f>
        <v>0</v>
      </c>
      <c r="BJ7">
        <f>Inventory!BN13</f>
        <v>0</v>
      </c>
      <c r="BK7" t="str">
        <f>IF(AND(M7="Early Retirement",Inventory!BA13=1),Inventory!BQ13*12000,"")</f>
        <v/>
      </c>
      <c r="BL7" t="str">
        <f>IF(Inventory!BA13=1,Inventory!BQ13*12000,"")</f>
        <v/>
      </c>
      <c r="BM7" s="631" t="e">
        <f>Inventory!DH13</f>
        <v>#N/A</v>
      </c>
      <c r="BN7">
        <f>IF(ISNUMBER(Inventory!AN13),Inventory!AN13,0)</f>
        <v>0</v>
      </c>
      <c r="BO7">
        <f>IF(ISNUMBER(Inventory!AO13),Inventory!AO13,0)</f>
        <v>0</v>
      </c>
      <c r="BP7">
        <f>0</f>
        <v>0</v>
      </c>
      <c r="BQ7" s="631">
        <f>IF(ISNUMBER(Inventory!AP13),Inventory!AP13,0)</f>
        <v>0</v>
      </c>
      <c r="BR7" s="421">
        <f>Inventory!AQ13</f>
        <v>0</v>
      </c>
    </row>
    <row r="8" spans="1:70" x14ac:dyDescent="0.25">
      <c r="A8" s="611"/>
      <c r="B8" s="611"/>
      <c r="C8" s="611"/>
      <c r="D8" s="611"/>
      <c r="E8" s="611"/>
      <c r="F8" s="611"/>
      <c r="G8" s="611"/>
      <c r="I8">
        <f t="shared" si="0"/>
        <v>0</v>
      </c>
      <c r="J8">
        <f t="shared" si="1"/>
        <v>0</v>
      </c>
      <c r="K8" t="e">
        <f>INDEX('Equipment Lookups'!$L$54:$AQ$67,MATCH(Inventory!Q14,'Equipment Lookups'!$J$54:$J$67,0),MATCH('Utility Admin'!$F$2&amp;DSMTEnviro,'Equipment Lookups'!$L$52:$AQ$52,0))</f>
        <v>#N/A</v>
      </c>
      <c r="L8" t="e" cm="1">
        <f t="array" ref="L8">INDEX('Equipment Lookups'!$L$54:$AQ$67,MATCH(Inventory!Q14,'Equipment Lookups'!$J$54:$J$67,0),MATCH('Utility Admin'!$F$2&amp;DSMTEnviro,'Equipment Lookups'!$L$52:$AQ$52,0)+1)</f>
        <v>#N/A</v>
      </c>
      <c r="M8">
        <f>Inventory!B14</f>
        <v>0</v>
      </c>
      <c r="N8">
        <f>Inventory!C14</f>
        <v>0</v>
      </c>
      <c r="O8">
        <f>_xlfn.NUMBERVALUE(RIGHT('Project Info'!$D$9,1))</f>
        <v>0</v>
      </c>
      <c r="P8" s="631" t="str">
        <f ca="1">Inventory!BW14</f>
        <v>-</v>
      </c>
      <c r="Q8" s="631">
        <f ca="1">IF(ISNUMBER(Inventory!BX14),Inventory!BX14,0)</f>
        <v>0</v>
      </c>
      <c r="R8" s="641">
        <f>Inventory!BY14</f>
        <v>0</v>
      </c>
      <c r="S8" s="630" t="str">
        <f ca="1">Inventory!BV14</f>
        <v>-</v>
      </c>
      <c r="T8">
        <f>0</f>
        <v>0</v>
      </c>
      <c r="U8" t="str">
        <f>IF(Inventory!D14="","",Inventory!D14)</f>
        <v/>
      </c>
      <c r="V8" t="str">
        <f>IF(Inventory!E14="","",Inventory!E14)</f>
        <v/>
      </c>
      <c r="W8" t="str">
        <f>IF(M8="Early Retirement",Inventory!G14,"")</f>
        <v/>
      </c>
      <c r="X8" t="str">
        <f>IF(Inventory!BK14&gt;0,Inventory!BK14,"")</f>
        <v/>
      </c>
      <c r="Y8" s="631" t="str">
        <f>IF(M8="Early Retirement",Inventory!DF14,"")</f>
        <v/>
      </c>
      <c r="Z8">
        <f>Inventory!M14</f>
        <v>0</v>
      </c>
      <c r="AA8">
        <f>Inventory!N14</f>
        <v>0</v>
      </c>
      <c r="AB8">
        <f>Inventory!P14</f>
        <v>0</v>
      </c>
      <c r="AC8" t="e">
        <f>IF(AND(Inventory!BU14="DX",Inventory!V14&lt;&gt;""),Inventory!V14,"")</f>
        <v>#N/A</v>
      </c>
      <c r="AD8" t="e">
        <f>IF(Inventory!BU14="PTRoom",Inventory!V14,"")</f>
        <v>#N/A</v>
      </c>
      <c r="AE8" t="e">
        <f t="shared" si="3"/>
        <v>#N/A</v>
      </c>
      <c r="AF8" t="e">
        <f t="shared" ref="AF8:AF26" si="5">IF(LEFT(AD8,4)="With",IF(RIGHT(AD8,19)="With Louvered Sides","Yes","No"),"")</f>
        <v>#N/A</v>
      </c>
      <c r="AG8" t="e">
        <f t="shared" ref="AG8:AG26" si="6">IF(LEFT(AD8,4)="Case",IF(AD8="Casement Slider","Casement-Slider","None"),"")</f>
        <v>#N/A</v>
      </c>
      <c r="AH8" t="str">
        <f>IF(RIGHT(Inventory!Q14,7)="Chiller",Inventory!V14,"")</f>
        <v/>
      </c>
      <c r="AI8" t="str">
        <f>IF(RIGHT(Inventory!Q14,7)="Chiller",Inventory!X14,"")</f>
        <v/>
      </c>
      <c r="AJ8" t="str">
        <f>IF(M8="Early Retirement",Inventory!K14,"")</f>
        <v/>
      </c>
      <c r="AK8">
        <f>Inventory!AF14</f>
        <v>0</v>
      </c>
      <c r="AL8" t="str">
        <f>IF(AND(M8="Early Retirement",LEFT(Inventory!AC14,3)="EER"),12/Inventory!CJ14,"")</f>
        <v/>
      </c>
      <c r="AM8" t="str">
        <f>IF(LEFT(Inventory!AC14,3)="EER",12/Inventory!CG14,"")</f>
        <v/>
      </c>
      <c r="AN8" t="str">
        <f>IF(LEFT(Inventory!AC14,3)="EER",12/Inventory!CJ14,"")</f>
        <v/>
      </c>
      <c r="AO8" t="str">
        <f>IF(M8="Early Retirement",Inventory!BZ14,"")</f>
        <v/>
      </c>
      <c r="AP8" t="e">
        <f ca="1">Inventory!CG14</f>
        <v>#N/A</v>
      </c>
      <c r="AQ8" t="str">
        <f>Inventory!CJ14</f>
        <v/>
      </c>
      <c r="AR8" t="str">
        <f>IF(AND(M8="Early Retirement",OR(AND(LEFT(Inventory!AC14,3)="EER",Inventory!BN14&lt;=5.42),Inventory!Q14="Air Cooled Chiller")),12/Inventory!CA14,"")</f>
        <v/>
      </c>
      <c r="AS8" t="str">
        <f>IF(OR(AND(LEFT(Inventory!AC14,3)="EER",Inventory!BN14&lt;=5.42),Inventory!Q14="Air Cooled Chiller"),12/Inventory!CH14,"")</f>
        <v/>
      </c>
      <c r="AT8" t="str">
        <f>IF(OR(AND(LEFT(Inventory!AC14,3)="EER",Inventory!BN14&lt;=5.42),Inventory!Q14="Air Cooled Chiller"),12/Inventory!CK14,"")</f>
        <v/>
      </c>
      <c r="AU8" t="str">
        <f>IF(AND(M8="Early Retirement",RIGHT(Inventory!AC14,4)="IEER"),12/Inventory!CA14,"")</f>
        <v/>
      </c>
      <c r="AV8" t="str">
        <f>IF(RIGHT(Inventory!AC14,4)="IEER",12/Inventory!CH14,"")</f>
        <v/>
      </c>
      <c r="AW8" t="str">
        <f>IF(RIGHT(Inventory!AC14,4)="IEER",12/Inventory!CK14,"")</f>
        <v/>
      </c>
      <c r="AX8" t="str">
        <f>IF(M8="Early Retirement",Inventory!CA14,"")</f>
        <v/>
      </c>
      <c r="AY8" t="e">
        <f ca="1">Inventory!CH14</f>
        <v>#N/A</v>
      </c>
      <c r="AZ8" t="str">
        <f>Inventory!CK14</f>
        <v/>
      </c>
      <c r="BA8" t="str">
        <f>IF(AND(M8="Early Retirement",Inventory!BA14=1),12/3.412/Inventory!CB14,"")</f>
        <v/>
      </c>
      <c r="BB8" t="str">
        <f>IF(Inventory!BA14=1,12/3.412/Inventory!CI14,"")</f>
        <v/>
      </c>
      <c r="BC8" t="str">
        <f>IF(Inventory!BA14=1,12/3.412/Inventory!CL14,"")</f>
        <v/>
      </c>
      <c r="BD8" t="str">
        <f>IF(AND(M8="Early Retirement",Inventory!BA14=1,LEFT(Inventory!AE14,4)="HSPF"),12/Inventory!CB14,"")</f>
        <v/>
      </c>
      <c r="BE8" t="str">
        <f>IF(AND(Inventory!BA14=1,LEFT(Inventory!AE14,4)="HSPF"),12/Inventory!CI14,"")</f>
        <v/>
      </c>
      <c r="BF8" t="str">
        <f>IF(AND(Inventory!BA14=1,LEFT(Inventory!AE14,4)="HSPF"),12/Inventory!CL14,"")</f>
        <v/>
      </c>
      <c r="BG8" t="str">
        <f>IF(AND(M8="Early Retirement",RIGHT(Inventory!G14,7)&lt;&gt;"Chiller"),Inventory!H14*IF(Inventory!I14="Btuh",1,12000),"")</f>
        <v/>
      </c>
      <c r="BH8" t="str">
        <f>IF(M8="Early Retirement",Inventory!H14/IF(Inventory!I14="Btuh",12000,1),"")</f>
        <v/>
      </c>
      <c r="BI8">
        <f>IF(RIGHT(Inventory!Q14,7)="Chiller","",Inventory!BP14)</f>
        <v>0</v>
      </c>
      <c r="BJ8">
        <f>Inventory!BN14</f>
        <v>0</v>
      </c>
      <c r="BK8" t="str">
        <f>IF(AND(M8="Early Retirement",Inventory!BA14=1),Inventory!BQ14*12000,"")</f>
        <v/>
      </c>
      <c r="BL8" t="str">
        <f>IF(Inventory!BA14=1,Inventory!BQ14*12000,"")</f>
        <v/>
      </c>
      <c r="BM8" s="631" t="e">
        <f>Inventory!DH14</f>
        <v>#N/A</v>
      </c>
      <c r="BN8">
        <f>IF(ISNUMBER(Inventory!AN14),Inventory!AN14,0)</f>
        <v>0</v>
      </c>
      <c r="BO8">
        <f>IF(ISNUMBER(Inventory!AO14),Inventory!AO14,0)</f>
        <v>0</v>
      </c>
      <c r="BP8">
        <f>0</f>
        <v>0</v>
      </c>
      <c r="BQ8" s="631">
        <f>IF(ISNUMBER(Inventory!AP14),Inventory!AP14,0)</f>
        <v>0</v>
      </c>
      <c r="BR8" s="421">
        <f>Inventory!AQ14</f>
        <v>0</v>
      </c>
    </row>
    <row r="9" spans="1:70" x14ac:dyDescent="0.25">
      <c r="A9" s="611"/>
      <c r="B9" s="611"/>
      <c r="C9" s="611"/>
      <c r="D9" s="611"/>
      <c r="E9" s="611"/>
      <c r="F9" s="611"/>
      <c r="G9" s="611"/>
      <c r="I9">
        <f t="shared" si="0"/>
        <v>0</v>
      </c>
      <c r="J9">
        <f t="shared" si="1"/>
        <v>0</v>
      </c>
      <c r="K9" t="e">
        <f>INDEX('Equipment Lookups'!$L$54:$AQ$67,MATCH(Inventory!Q15,'Equipment Lookups'!$J$54:$J$67,0),MATCH('Utility Admin'!$F$2&amp;DSMTEnviro,'Equipment Lookups'!$L$52:$AQ$52,0))</f>
        <v>#N/A</v>
      </c>
      <c r="L9" t="e" cm="1">
        <f t="array" ref="L9">INDEX('Equipment Lookups'!$L$54:$AQ$67,MATCH(Inventory!Q15,'Equipment Lookups'!$J$54:$J$67,0),MATCH('Utility Admin'!$F$2&amp;DSMTEnviro,'Equipment Lookups'!$L$52:$AQ$52,0)+1)</f>
        <v>#N/A</v>
      </c>
      <c r="M9">
        <f>Inventory!B15</f>
        <v>0</v>
      </c>
      <c r="N9">
        <f>Inventory!C15</f>
        <v>0</v>
      </c>
      <c r="O9">
        <f>_xlfn.NUMBERVALUE(RIGHT('Project Info'!$D$9,1))</f>
        <v>0</v>
      </c>
      <c r="P9" s="631" t="str">
        <f ca="1">Inventory!BW15</f>
        <v>-</v>
      </c>
      <c r="Q9" s="631">
        <f ca="1">IF(ISNUMBER(Inventory!BX15),Inventory!BX15,0)</f>
        <v>0</v>
      </c>
      <c r="R9" s="641">
        <f>Inventory!BY15</f>
        <v>0</v>
      </c>
      <c r="S9" s="630" t="str">
        <f ca="1">Inventory!BV15</f>
        <v>-</v>
      </c>
      <c r="T9">
        <f>0</f>
        <v>0</v>
      </c>
      <c r="U9" t="str">
        <f>IF(Inventory!D15="","",Inventory!D15)</f>
        <v/>
      </c>
      <c r="V9" t="str">
        <f>IF(Inventory!E15="","",Inventory!E15)</f>
        <v/>
      </c>
      <c r="W9" t="str">
        <f>IF(M9="Early Retirement",Inventory!G15,"")</f>
        <v/>
      </c>
      <c r="X9" t="str">
        <f>IF(Inventory!BK15&gt;0,Inventory!BK15,"")</f>
        <v/>
      </c>
      <c r="Y9" s="631" t="str">
        <f>IF(M9="Early Retirement",Inventory!DF15,"")</f>
        <v/>
      </c>
      <c r="Z9">
        <f>Inventory!M15</f>
        <v>0</v>
      </c>
      <c r="AA9">
        <f>Inventory!N15</f>
        <v>0</v>
      </c>
      <c r="AB9">
        <f>Inventory!P15</f>
        <v>0</v>
      </c>
      <c r="AC9" t="e">
        <f>IF(AND(Inventory!BU15="DX",Inventory!V15&lt;&gt;""),Inventory!V15,"")</f>
        <v>#N/A</v>
      </c>
      <c r="AD9" t="e">
        <f>IF(Inventory!BU15="PTRoom",Inventory!V15,"")</f>
        <v>#N/A</v>
      </c>
      <c r="AE9" t="e">
        <f t="shared" si="3"/>
        <v>#N/A</v>
      </c>
      <c r="AF9" t="e">
        <f t="shared" si="5"/>
        <v>#N/A</v>
      </c>
      <c r="AG9" t="e">
        <f t="shared" si="6"/>
        <v>#N/A</v>
      </c>
      <c r="AH9" t="str">
        <f>IF(RIGHT(Inventory!Q15,7)="Chiller",Inventory!V15,"")</f>
        <v/>
      </c>
      <c r="AI9" t="str">
        <f>IF(RIGHT(Inventory!Q15,7)="Chiller",Inventory!X15,"")</f>
        <v/>
      </c>
      <c r="AJ9" t="str">
        <f>IF(M9="Early Retirement",Inventory!K15,"")</f>
        <v/>
      </c>
      <c r="AK9">
        <f>Inventory!AF15</f>
        <v>0</v>
      </c>
      <c r="AL9" t="str">
        <f>IF(AND(M9="Early Retirement",LEFT(Inventory!AC15,3)="EER"),12/Inventory!CJ15,"")</f>
        <v/>
      </c>
      <c r="AM9" t="str">
        <f>IF(LEFT(Inventory!AC15,3)="EER",12/Inventory!CG15,"")</f>
        <v/>
      </c>
      <c r="AN9" t="str">
        <f>IF(LEFT(Inventory!AC15,3)="EER",12/Inventory!CJ15,"")</f>
        <v/>
      </c>
      <c r="AO9" t="str">
        <f>IF(M9="Early Retirement",Inventory!BZ15,"")</f>
        <v/>
      </c>
      <c r="AP9" t="e">
        <f ca="1">Inventory!CG15</f>
        <v>#N/A</v>
      </c>
      <c r="AQ9" t="str">
        <f>Inventory!CJ15</f>
        <v/>
      </c>
      <c r="AR9" t="str">
        <f>IF(AND(M9="Early Retirement",OR(AND(LEFT(Inventory!AC15,3)="EER",Inventory!BN15&lt;=5.42),Inventory!Q15="Air Cooled Chiller")),12/Inventory!CA15,"")</f>
        <v/>
      </c>
      <c r="AS9" t="str">
        <f>IF(OR(AND(LEFT(Inventory!AC15,3)="EER",Inventory!BN15&lt;=5.42),Inventory!Q15="Air Cooled Chiller"),12/Inventory!CH15,"")</f>
        <v/>
      </c>
      <c r="AT9" t="str">
        <f>IF(OR(AND(LEFT(Inventory!AC15,3)="EER",Inventory!BN15&lt;=5.42),Inventory!Q15="Air Cooled Chiller"),12/Inventory!CK15,"")</f>
        <v/>
      </c>
      <c r="AU9" t="str">
        <f>IF(AND(M9="Early Retirement",RIGHT(Inventory!AC15,4)="IEER"),12/Inventory!CA15,"")</f>
        <v/>
      </c>
      <c r="AV9" t="str">
        <f>IF(RIGHT(Inventory!AC15,4)="IEER",12/Inventory!CH15,"")</f>
        <v/>
      </c>
      <c r="AW9" t="str">
        <f>IF(RIGHT(Inventory!AC15,4)="IEER",12/Inventory!CK15,"")</f>
        <v/>
      </c>
      <c r="AX9" t="str">
        <f>IF(M9="Early Retirement",Inventory!CA15,"")</f>
        <v/>
      </c>
      <c r="AY9" t="e">
        <f ca="1">Inventory!CH15</f>
        <v>#N/A</v>
      </c>
      <c r="AZ9" t="str">
        <f>Inventory!CK15</f>
        <v/>
      </c>
      <c r="BA9" t="str">
        <f>IF(AND(M9="Early Retirement",Inventory!BA15=1),12/3.412/Inventory!CB15,"")</f>
        <v/>
      </c>
      <c r="BB9" t="str">
        <f>IF(Inventory!BA15=1,12/3.412/Inventory!CI15,"")</f>
        <v/>
      </c>
      <c r="BC9" t="str">
        <f>IF(Inventory!BA15=1,12/3.412/Inventory!CL15,"")</f>
        <v/>
      </c>
      <c r="BD9" t="str">
        <f>IF(AND(M9="Early Retirement",Inventory!BA15=1,LEFT(Inventory!AE15,4)="HSPF"),12/Inventory!CB15,"")</f>
        <v/>
      </c>
      <c r="BE9" t="str">
        <f>IF(AND(Inventory!BA15=1,LEFT(Inventory!AE15,4)="HSPF"),12/Inventory!CI15,"")</f>
        <v/>
      </c>
      <c r="BF9" t="str">
        <f>IF(AND(Inventory!BA15=1,LEFT(Inventory!AE15,4)="HSPF"),12/Inventory!CL15,"")</f>
        <v/>
      </c>
      <c r="BG9" t="str">
        <f>IF(AND(M9="Early Retirement",RIGHT(Inventory!G15,7)&lt;&gt;"Chiller"),Inventory!H15*IF(Inventory!I15="Btuh",1,12000),"")</f>
        <v/>
      </c>
      <c r="BH9" t="str">
        <f>IF(M9="Early Retirement",Inventory!H15/IF(Inventory!I15="Btuh",12000,1),"")</f>
        <v/>
      </c>
      <c r="BI9">
        <f>IF(RIGHT(Inventory!Q15,7)="Chiller","",Inventory!BP15)</f>
        <v>0</v>
      </c>
      <c r="BJ9">
        <f>Inventory!BN15</f>
        <v>0</v>
      </c>
      <c r="BK9" t="str">
        <f>IF(AND(M9="Early Retirement",Inventory!BA15=1),Inventory!BQ15*12000,"")</f>
        <v/>
      </c>
      <c r="BL9" t="str">
        <f>IF(Inventory!BA15=1,Inventory!BQ15*12000,"")</f>
        <v/>
      </c>
      <c r="BM9" s="631" t="e">
        <f>Inventory!DH15</f>
        <v>#N/A</v>
      </c>
      <c r="BN9">
        <f>IF(ISNUMBER(Inventory!AN15),Inventory!AN15,0)</f>
        <v>0</v>
      </c>
      <c r="BO9">
        <f>IF(ISNUMBER(Inventory!AO15),Inventory!AO15,0)</f>
        <v>0</v>
      </c>
      <c r="BP9">
        <f>0</f>
        <v>0</v>
      </c>
      <c r="BQ9" s="631">
        <f>IF(ISNUMBER(Inventory!AP15),Inventory!AP15,0)</f>
        <v>0</v>
      </c>
      <c r="BR9" s="421">
        <f>Inventory!AQ15</f>
        <v>0</v>
      </c>
    </row>
    <row r="10" spans="1:70" x14ac:dyDescent="0.25">
      <c r="A10" s="611"/>
      <c r="B10" s="611"/>
      <c r="C10" s="611"/>
      <c r="D10" s="611"/>
      <c r="E10" s="611"/>
      <c r="F10" s="611"/>
      <c r="G10" s="611"/>
      <c r="I10">
        <f t="shared" si="0"/>
        <v>0</v>
      </c>
      <c r="J10">
        <f t="shared" si="1"/>
        <v>0</v>
      </c>
      <c r="K10" t="e">
        <f>INDEX('Equipment Lookups'!$L$54:$AQ$67,MATCH(Inventory!Q16,'Equipment Lookups'!$J$54:$J$67,0),MATCH('Utility Admin'!$F$2&amp;DSMTEnviro,'Equipment Lookups'!$L$52:$AQ$52,0))</f>
        <v>#N/A</v>
      </c>
      <c r="L10" t="e" cm="1">
        <f t="array" ref="L10">INDEX('Equipment Lookups'!$L$54:$AQ$67,MATCH(Inventory!Q16,'Equipment Lookups'!$J$54:$J$67,0),MATCH('Utility Admin'!$F$2&amp;DSMTEnviro,'Equipment Lookups'!$L$52:$AQ$52,0)+1)</f>
        <v>#N/A</v>
      </c>
      <c r="M10">
        <f>Inventory!B16</f>
        <v>0</v>
      </c>
      <c r="N10">
        <f>Inventory!C16</f>
        <v>0</v>
      </c>
      <c r="O10">
        <f>_xlfn.NUMBERVALUE(RIGHT('Project Info'!$D$9,1))</f>
        <v>0</v>
      </c>
      <c r="P10" s="631" t="str">
        <f ca="1">Inventory!BW16</f>
        <v>-</v>
      </c>
      <c r="Q10" s="631">
        <f ca="1">IF(ISNUMBER(Inventory!BX16),Inventory!BX16,0)</f>
        <v>0</v>
      </c>
      <c r="R10" s="641">
        <f>Inventory!BY16</f>
        <v>0</v>
      </c>
      <c r="S10" s="630" t="str">
        <f ca="1">Inventory!BV16</f>
        <v>-</v>
      </c>
      <c r="T10">
        <f>0</f>
        <v>0</v>
      </c>
      <c r="U10" t="str">
        <f>IF(Inventory!D16="","",Inventory!D16)</f>
        <v/>
      </c>
      <c r="V10" t="str">
        <f>IF(Inventory!E16="","",Inventory!E16)</f>
        <v/>
      </c>
      <c r="W10" t="str">
        <f>IF(M10="Early Retirement",Inventory!G16,"")</f>
        <v/>
      </c>
      <c r="X10" t="str">
        <f>IF(Inventory!BK16&gt;0,Inventory!BK16,"")</f>
        <v/>
      </c>
      <c r="Y10" s="631" t="str">
        <f>IF(M10="Early Retirement",Inventory!DF16,"")</f>
        <v/>
      </c>
      <c r="Z10">
        <f>Inventory!M16</f>
        <v>0</v>
      </c>
      <c r="AA10">
        <f>Inventory!N16</f>
        <v>0</v>
      </c>
      <c r="AB10">
        <f>Inventory!P16</f>
        <v>0</v>
      </c>
      <c r="AC10" t="e">
        <f>IF(AND(Inventory!BU16="DX",Inventory!V16&lt;&gt;""),Inventory!V16,"")</f>
        <v>#N/A</v>
      </c>
      <c r="AD10" t="e">
        <f>IF(Inventory!BU16="PTRoom",Inventory!V16,"")</f>
        <v>#N/A</v>
      </c>
      <c r="AE10" t="e">
        <f t="shared" si="3"/>
        <v>#N/A</v>
      </c>
      <c r="AF10" t="e">
        <f t="shared" si="5"/>
        <v>#N/A</v>
      </c>
      <c r="AG10" t="e">
        <f t="shared" si="6"/>
        <v>#N/A</v>
      </c>
      <c r="AH10" t="str">
        <f>IF(RIGHT(Inventory!Q16,7)="Chiller",Inventory!V16,"")</f>
        <v/>
      </c>
      <c r="AI10" t="str">
        <f>IF(RIGHT(Inventory!Q16,7)="Chiller",Inventory!X16,"")</f>
        <v/>
      </c>
      <c r="AJ10" t="str">
        <f>IF(M10="Early Retirement",Inventory!K16,"")</f>
        <v/>
      </c>
      <c r="AK10">
        <f>Inventory!AF16</f>
        <v>0</v>
      </c>
      <c r="AL10" t="str">
        <f>IF(AND(M10="Early Retirement",LEFT(Inventory!AC16,3)="EER"),12/Inventory!CJ16,"")</f>
        <v/>
      </c>
      <c r="AM10" t="str">
        <f>IF(LEFT(Inventory!AC16,3)="EER",12/Inventory!CG16,"")</f>
        <v/>
      </c>
      <c r="AN10" t="str">
        <f>IF(LEFT(Inventory!AC16,3)="EER",12/Inventory!CJ16,"")</f>
        <v/>
      </c>
      <c r="AO10" t="str">
        <f>IF(M10="Early Retirement",Inventory!BZ16,"")</f>
        <v/>
      </c>
      <c r="AP10" t="e">
        <f ca="1">Inventory!CG16</f>
        <v>#N/A</v>
      </c>
      <c r="AQ10" t="str">
        <f>Inventory!CJ16</f>
        <v/>
      </c>
      <c r="AR10" t="str">
        <f>IF(AND(M10="Early Retirement",OR(AND(LEFT(Inventory!AC16,3)="EER",Inventory!BN16&lt;=5.42),Inventory!Q16="Air Cooled Chiller")),12/Inventory!CA16,"")</f>
        <v/>
      </c>
      <c r="AS10" t="str">
        <f>IF(OR(AND(LEFT(Inventory!AC16,3)="EER",Inventory!BN16&lt;=5.42),Inventory!Q16="Air Cooled Chiller"),12/Inventory!CH16,"")</f>
        <v/>
      </c>
      <c r="AT10" t="str">
        <f>IF(OR(AND(LEFT(Inventory!AC16,3)="EER",Inventory!BN16&lt;=5.42),Inventory!Q16="Air Cooled Chiller"),12/Inventory!CK16,"")</f>
        <v/>
      </c>
      <c r="AU10" t="str">
        <f>IF(AND(M10="Early Retirement",RIGHT(Inventory!AC16,4)="IEER"),12/Inventory!CA16,"")</f>
        <v/>
      </c>
      <c r="AV10" t="str">
        <f>IF(RIGHT(Inventory!AC16,4)="IEER",12/Inventory!CH16,"")</f>
        <v/>
      </c>
      <c r="AW10" t="str">
        <f>IF(RIGHT(Inventory!AC16,4)="IEER",12/Inventory!CK16,"")</f>
        <v/>
      </c>
      <c r="AX10" t="str">
        <f>IF(M10="Early Retirement",Inventory!CA16,"")</f>
        <v/>
      </c>
      <c r="AY10" t="e">
        <f ca="1">Inventory!CH16</f>
        <v>#N/A</v>
      </c>
      <c r="AZ10" t="str">
        <f>Inventory!CK16</f>
        <v/>
      </c>
      <c r="BA10" t="str">
        <f>IF(AND(M10="Early Retirement",Inventory!BA16=1),12/3.412/Inventory!CB16,"")</f>
        <v/>
      </c>
      <c r="BB10" t="str">
        <f>IF(Inventory!BA16=1,12/3.412/Inventory!CI16,"")</f>
        <v/>
      </c>
      <c r="BC10" t="str">
        <f>IF(Inventory!BA16=1,12/3.412/Inventory!CL16,"")</f>
        <v/>
      </c>
      <c r="BD10" t="str">
        <f>IF(AND(M10="Early Retirement",Inventory!BA16=1,LEFT(Inventory!AE16,4)="HSPF"),12/Inventory!CB16,"")</f>
        <v/>
      </c>
      <c r="BE10" t="str">
        <f>IF(AND(Inventory!BA16=1,LEFT(Inventory!AE16,4)="HSPF"),12/Inventory!CI16,"")</f>
        <v/>
      </c>
      <c r="BF10" t="str">
        <f>IF(AND(Inventory!BA16=1,LEFT(Inventory!AE16,4)="HSPF"),12/Inventory!CL16,"")</f>
        <v/>
      </c>
      <c r="BG10" t="str">
        <f>IF(AND(M10="Early Retirement",RIGHT(Inventory!G16,7)&lt;&gt;"Chiller"),Inventory!H16*IF(Inventory!I16="Btuh",1,12000),"")</f>
        <v/>
      </c>
      <c r="BH10" t="str">
        <f>IF(M10="Early Retirement",Inventory!H16/IF(Inventory!I16="Btuh",12000,1),"")</f>
        <v/>
      </c>
      <c r="BI10">
        <f>IF(RIGHT(Inventory!Q16,7)="Chiller","",Inventory!BP16)</f>
        <v>0</v>
      </c>
      <c r="BJ10">
        <f>Inventory!BN16</f>
        <v>0</v>
      </c>
      <c r="BK10" t="str">
        <f>IF(AND(M10="Early Retirement",Inventory!BA16=1),Inventory!BQ16*12000,"")</f>
        <v/>
      </c>
      <c r="BL10" t="str">
        <f>IF(Inventory!BA16=1,Inventory!BQ16*12000,"")</f>
        <v/>
      </c>
      <c r="BM10" s="631" t="e">
        <f>Inventory!DH16</f>
        <v>#N/A</v>
      </c>
      <c r="BN10">
        <f>IF(ISNUMBER(Inventory!AN16),Inventory!AN16,0)</f>
        <v>0</v>
      </c>
      <c r="BO10">
        <f>IF(ISNUMBER(Inventory!AO16),Inventory!AO16,0)</f>
        <v>0</v>
      </c>
      <c r="BP10">
        <f>0</f>
        <v>0</v>
      </c>
      <c r="BQ10" s="631">
        <f>IF(ISNUMBER(Inventory!AP16),Inventory!AP16,0)</f>
        <v>0</v>
      </c>
      <c r="BR10" s="421">
        <f>Inventory!AQ16</f>
        <v>0</v>
      </c>
    </row>
    <row r="11" spans="1:70" x14ac:dyDescent="0.25">
      <c r="A11" s="611"/>
      <c r="B11" s="611"/>
      <c r="C11" s="611"/>
      <c r="D11" s="611"/>
      <c r="E11" s="611"/>
      <c r="F11" s="611"/>
      <c r="G11" s="611"/>
      <c r="I11">
        <f t="shared" si="0"/>
        <v>0</v>
      </c>
      <c r="J11">
        <f t="shared" si="1"/>
        <v>0</v>
      </c>
      <c r="K11" t="e">
        <f>INDEX('Equipment Lookups'!$L$54:$AQ$67,MATCH(Inventory!Q17,'Equipment Lookups'!$J$54:$J$67,0),MATCH('Utility Admin'!$F$2&amp;DSMTEnviro,'Equipment Lookups'!$L$52:$AQ$52,0))</f>
        <v>#N/A</v>
      </c>
      <c r="L11" t="e" cm="1">
        <f t="array" ref="L11">INDEX('Equipment Lookups'!$L$54:$AQ$67,MATCH(Inventory!Q17,'Equipment Lookups'!$J$54:$J$67,0),MATCH('Utility Admin'!$F$2&amp;DSMTEnviro,'Equipment Lookups'!$L$52:$AQ$52,0)+1)</f>
        <v>#N/A</v>
      </c>
      <c r="M11">
        <f>Inventory!B17</f>
        <v>0</v>
      </c>
      <c r="N11">
        <f>Inventory!C17</f>
        <v>0</v>
      </c>
      <c r="O11">
        <f>_xlfn.NUMBERVALUE(RIGHT('Project Info'!$D$9,1))</f>
        <v>0</v>
      </c>
      <c r="P11" s="631" t="str">
        <f ca="1">Inventory!BW17</f>
        <v>-</v>
      </c>
      <c r="Q11" s="631">
        <f ca="1">IF(ISNUMBER(Inventory!BX17),Inventory!BX17,0)</f>
        <v>0</v>
      </c>
      <c r="R11" s="641">
        <f>Inventory!BY17</f>
        <v>0</v>
      </c>
      <c r="S11" s="630" t="str">
        <f ca="1">Inventory!BV17</f>
        <v>-</v>
      </c>
      <c r="T11">
        <f>0</f>
        <v>0</v>
      </c>
      <c r="U11" t="str">
        <f>IF(Inventory!D17="","",Inventory!D17)</f>
        <v/>
      </c>
      <c r="V11" t="str">
        <f>IF(Inventory!E17="","",Inventory!E17)</f>
        <v/>
      </c>
      <c r="W11" t="str">
        <f>IF(M11="Early Retirement",Inventory!G17,"")</f>
        <v/>
      </c>
      <c r="X11" t="str">
        <f>IF(Inventory!BK17&gt;0,Inventory!BK17,"")</f>
        <v/>
      </c>
      <c r="Y11" s="631" t="str">
        <f>IF(M11="Early Retirement",Inventory!DF17,"")</f>
        <v/>
      </c>
      <c r="Z11">
        <f>Inventory!M17</f>
        <v>0</v>
      </c>
      <c r="AA11">
        <f>Inventory!N17</f>
        <v>0</v>
      </c>
      <c r="AB11">
        <f>Inventory!P17</f>
        <v>0</v>
      </c>
      <c r="AC11" t="e">
        <f>IF(AND(Inventory!BU17="DX",Inventory!V17&lt;&gt;""),Inventory!V17,"")</f>
        <v>#N/A</v>
      </c>
      <c r="AD11" t="e">
        <f>IF(Inventory!BU17="PTRoom",Inventory!V17,"")</f>
        <v>#N/A</v>
      </c>
      <c r="AE11" t="e">
        <f t="shared" si="3"/>
        <v>#N/A</v>
      </c>
      <c r="AF11" t="e">
        <f t="shared" si="5"/>
        <v>#N/A</v>
      </c>
      <c r="AG11" t="e">
        <f t="shared" si="6"/>
        <v>#N/A</v>
      </c>
      <c r="AH11" t="str">
        <f>IF(RIGHT(Inventory!Q17,7)="Chiller",Inventory!V17,"")</f>
        <v/>
      </c>
      <c r="AI11" t="str">
        <f>IF(RIGHT(Inventory!Q17,7)="Chiller",Inventory!X17,"")</f>
        <v/>
      </c>
      <c r="AJ11" t="str">
        <f>IF(M11="Early Retirement",Inventory!K17,"")</f>
        <v/>
      </c>
      <c r="AK11">
        <f>Inventory!AF17</f>
        <v>0</v>
      </c>
      <c r="AL11" t="str">
        <f>IF(AND(M11="Early Retirement",LEFT(Inventory!AC17,3)="EER"),12/Inventory!CJ17,"")</f>
        <v/>
      </c>
      <c r="AM11" t="str">
        <f>IF(LEFT(Inventory!AC17,3)="EER",12/Inventory!CG17,"")</f>
        <v/>
      </c>
      <c r="AN11" t="str">
        <f>IF(LEFT(Inventory!AC17,3)="EER",12/Inventory!CJ17,"")</f>
        <v/>
      </c>
      <c r="AO11" t="str">
        <f>IF(M11="Early Retirement",Inventory!BZ17,"")</f>
        <v/>
      </c>
      <c r="AP11" t="e">
        <f ca="1">Inventory!CG17</f>
        <v>#N/A</v>
      </c>
      <c r="AQ11" t="str">
        <f>Inventory!CJ17</f>
        <v/>
      </c>
      <c r="AR11" t="str">
        <f>IF(AND(M11="Early Retirement",OR(AND(LEFT(Inventory!AC17,3)="EER",Inventory!BN17&lt;=5.42),Inventory!Q17="Air Cooled Chiller")),12/Inventory!CA17,"")</f>
        <v/>
      </c>
      <c r="AS11" t="str">
        <f>IF(OR(AND(LEFT(Inventory!AC17,3)="EER",Inventory!BN17&lt;=5.42),Inventory!Q17="Air Cooled Chiller"),12/Inventory!CH17,"")</f>
        <v/>
      </c>
      <c r="AT11" t="str">
        <f>IF(OR(AND(LEFT(Inventory!AC17,3)="EER",Inventory!BN17&lt;=5.42),Inventory!Q17="Air Cooled Chiller"),12/Inventory!CK17,"")</f>
        <v/>
      </c>
      <c r="AU11" t="str">
        <f>IF(AND(M11="Early Retirement",RIGHT(Inventory!AC17,4)="IEER"),12/Inventory!CA17,"")</f>
        <v/>
      </c>
      <c r="AV11" t="str">
        <f>IF(RIGHT(Inventory!AC17,4)="IEER",12/Inventory!CH17,"")</f>
        <v/>
      </c>
      <c r="AW11" t="str">
        <f>IF(RIGHT(Inventory!AC17,4)="IEER",12/Inventory!CK17,"")</f>
        <v/>
      </c>
      <c r="AX11" t="str">
        <f>IF(M11="Early Retirement",Inventory!CA17,"")</f>
        <v/>
      </c>
      <c r="AY11" t="e">
        <f ca="1">Inventory!CH17</f>
        <v>#N/A</v>
      </c>
      <c r="AZ11" t="str">
        <f>Inventory!CK17</f>
        <v/>
      </c>
      <c r="BA11" t="str">
        <f>IF(AND(M11="Early Retirement",Inventory!BA17=1),12/3.412/Inventory!CB17,"")</f>
        <v/>
      </c>
      <c r="BB11" t="str">
        <f>IF(Inventory!BA17=1,12/3.412/Inventory!CI17,"")</f>
        <v/>
      </c>
      <c r="BC11" t="str">
        <f>IF(Inventory!BA17=1,12/3.412/Inventory!CL17,"")</f>
        <v/>
      </c>
      <c r="BD11" t="str">
        <f>IF(AND(M11="Early Retirement",Inventory!BA17=1,LEFT(Inventory!AE17,4)="HSPF"),12/Inventory!CB17,"")</f>
        <v/>
      </c>
      <c r="BE11" t="str">
        <f>IF(AND(Inventory!BA17=1,LEFT(Inventory!AE17,4)="HSPF"),12/Inventory!CI17,"")</f>
        <v/>
      </c>
      <c r="BF11" t="str">
        <f>IF(AND(Inventory!BA17=1,LEFT(Inventory!AE17,4)="HSPF"),12/Inventory!CL17,"")</f>
        <v/>
      </c>
      <c r="BG11" t="str">
        <f>IF(AND(M11="Early Retirement",RIGHT(Inventory!G17,7)&lt;&gt;"Chiller"),Inventory!H17*IF(Inventory!I17="Btuh",1,12000),"")</f>
        <v/>
      </c>
      <c r="BH11" t="str">
        <f>IF(M11="Early Retirement",Inventory!H17/IF(Inventory!I17="Btuh",12000,1),"")</f>
        <v/>
      </c>
      <c r="BI11">
        <f>IF(RIGHT(Inventory!Q17,7)="Chiller","",Inventory!BP17)</f>
        <v>0</v>
      </c>
      <c r="BJ11">
        <f>Inventory!BN17</f>
        <v>0</v>
      </c>
      <c r="BK11" t="str">
        <f>IF(AND(M11="Early Retirement",Inventory!BA17=1),Inventory!BQ17*12000,"")</f>
        <v/>
      </c>
      <c r="BL11" t="str">
        <f>IF(Inventory!BA17=1,Inventory!BQ17*12000,"")</f>
        <v/>
      </c>
      <c r="BM11" s="631" t="e">
        <f>Inventory!DH17</f>
        <v>#N/A</v>
      </c>
      <c r="BN11">
        <f>IF(ISNUMBER(Inventory!AN17),Inventory!AN17,0)</f>
        <v>0</v>
      </c>
      <c r="BO11">
        <f>IF(ISNUMBER(Inventory!AO17),Inventory!AO17,0)</f>
        <v>0</v>
      </c>
      <c r="BP11">
        <f>0</f>
        <v>0</v>
      </c>
      <c r="BQ11" s="631">
        <f>IF(ISNUMBER(Inventory!AP17),Inventory!AP17,0)</f>
        <v>0</v>
      </c>
      <c r="BR11" s="421">
        <f>Inventory!AQ17</f>
        <v>0</v>
      </c>
    </row>
    <row r="12" spans="1:70" ht="15" customHeight="1" x14ac:dyDescent="0.25">
      <c r="A12" s="933" t="s">
        <v>1245</v>
      </c>
      <c r="B12" s="933"/>
      <c r="C12" s="933"/>
      <c r="D12" s="933"/>
      <c r="E12" s="933"/>
      <c r="F12" s="933"/>
      <c r="G12" s="611"/>
      <c r="I12">
        <f t="shared" si="0"/>
        <v>0</v>
      </c>
      <c r="J12">
        <f t="shared" si="1"/>
        <v>0</v>
      </c>
      <c r="K12" t="e">
        <f>INDEX('Equipment Lookups'!$L$54:$AQ$67,MATCH(Inventory!Q18,'Equipment Lookups'!$J$54:$J$67,0),MATCH('Utility Admin'!$F$2&amp;DSMTEnviro,'Equipment Lookups'!$L$52:$AQ$52,0))</f>
        <v>#N/A</v>
      </c>
      <c r="L12" t="e" cm="1">
        <f t="array" ref="L12">INDEX('Equipment Lookups'!$L$54:$AQ$67,MATCH(Inventory!Q18,'Equipment Lookups'!$J$54:$J$67,0),MATCH('Utility Admin'!$F$2&amp;DSMTEnviro,'Equipment Lookups'!$L$52:$AQ$52,0)+1)</f>
        <v>#N/A</v>
      </c>
      <c r="M12">
        <f>Inventory!B18</f>
        <v>0</v>
      </c>
      <c r="N12">
        <f>Inventory!C18</f>
        <v>0</v>
      </c>
      <c r="O12">
        <f>_xlfn.NUMBERVALUE(RIGHT('Project Info'!$D$9,1))</f>
        <v>0</v>
      </c>
      <c r="P12" s="631" t="str">
        <f ca="1">Inventory!BW18</f>
        <v>-</v>
      </c>
      <c r="Q12" s="631">
        <f ca="1">IF(ISNUMBER(Inventory!BX18),Inventory!BX18,0)</f>
        <v>0</v>
      </c>
      <c r="R12" s="641">
        <f>Inventory!BY18</f>
        <v>0</v>
      </c>
      <c r="S12" s="630" t="str">
        <f ca="1">Inventory!BV18</f>
        <v>-</v>
      </c>
      <c r="T12">
        <f>0</f>
        <v>0</v>
      </c>
      <c r="U12" t="str">
        <f>IF(Inventory!D18="","",Inventory!D18)</f>
        <v/>
      </c>
      <c r="V12" t="str">
        <f>IF(Inventory!E18="","",Inventory!E18)</f>
        <v/>
      </c>
      <c r="W12" t="str">
        <f>IF(M12="Early Retirement",Inventory!G18,"")</f>
        <v/>
      </c>
      <c r="X12" t="str">
        <f>IF(Inventory!BK18&gt;0,Inventory!BK18,"")</f>
        <v/>
      </c>
      <c r="Y12" s="631" t="str">
        <f>IF(M12="Early Retirement",Inventory!DF18,"")</f>
        <v/>
      </c>
      <c r="Z12">
        <f>Inventory!M18</f>
        <v>0</v>
      </c>
      <c r="AA12">
        <f>Inventory!N18</f>
        <v>0</v>
      </c>
      <c r="AB12">
        <f>Inventory!P18</f>
        <v>0</v>
      </c>
      <c r="AC12" t="e">
        <f>IF(AND(Inventory!BU18="DX",Inventory!V18&lt;&gt;""),Inventory!V18,"")</f>
        <v>#N/A</v>
      </c>
      <c r="AD12" t="e">
        <f>IF(Inventory!BU18="PTRoom",Inventory!V18,"")</f>
        <v>#N/A</v>
      </c>
      <c r="AE12" t="e">
        <f t="shared" si="3"/>
        <v>#N/A</v>
      </c>
      <c r="AF12" t="e">
        <f t="shared" si="5"/>
        <v>#N/A</v>
      </c>
      <c r="AG12" t="e">
        <f t="shared" si="6"/>
        <v>#N/A</v>
      </c>
      <c r="AH12" t="str">
        <f>IF(RIGHT(Inventory!Q18,7)="Chiller",Inventory!V18,"")</f>
        <v/>
      </c>
      <c r="AI12" t="str">
        <f>IF(RIGHT(Inventory!Q18,7)="Chiller",Inventory!X18,"")</f>
        <v/>
      </c>
      <c r="AJ12" t="str">
        <f>IF(M12="Early Retirement",Inventory!K18,"")</f>
        <v/>
      </c>
      <c r="AK12">
        <f>Inventory!AF18</f>
        <v>0</v>
      </c>
      <c r="AL12" t="str">
        <f>IF(AND(M12="Early Retirement",LEFT(Inventory!AC18,3)="EER"),12/Inventory!CJ18,"")</f>
        <v/>
      </c>
      <c r="AM12" t="str">
        <f>IF(LEFT(Inventory!AC18,3)="EER",12/Inventory!CG18,"")</f>
        <v/>
      </c>
      <c r="AN12" t="str">
        <f>IF(LEFT(Inventory!AC18,3)="EER",12/Inventory!CJ18,"")</f>
        <v/>
      </c>
      <c r="AO12" t="str">
        <f>IF(M12="Early Retirement",Inventory!BZ18,"")</f>
        <v/>
      </c>
      <c r="AP12" t="e">
        <f ca="1">Inventory!CG18</f>
        <v>#N/A</v>
      </c>
      <c r="AQ12" t="str">
        <f>Inventory!CJ18</f>
        <v/>
      </c>
      <c r="AR12" t="str">
        <f>IF(AND(M12="Early Retirement",OR(AND(LEFT(Inventory!AC18,3)="EER",Inventory!BN18&lt;=5.42),Inventory!Q18="Air Cooled Chiller")),12/Inventory!CA18,"")</f>
        <v/>
      </c>
      <c r="AS12" t="str">
        <f>IF(OR(AND(LEFT(Inventory!AC18,3)="EER",Inventory!BN18&lt;=5.42),Inventory!Q18="Air Cooled Chiller"),12/Inventory!CH18,"")</f>
        <v/>
      </c>
      <c r="AT12" t="str">
        <f>IF(OR(AND(LEFT(Inventory!AC18,3)="EER",Inventory!BN18&lt;=5.42),Inventory!Q18="Air Cooled Chiller"),12/Inventory!CK18,"")</f>
        <v/>
      </c>
      <c r="AU12" t="str">
        <f>IF(AND(M12="Early Retirement",RIGHT(Inventory!AC18,4)="IEER"),12/Inventory!CA18,"")</f>
        <v/>
      </c>
      <c r="AV12" t="str">
        <f>IF(RIGHT(Inventory!AC18,4)="IEER",12/Inventory!CH18,"")</f>
        <v/>
      </c>
      <c r="AW12" t="str">
        <f>IF(RIGHT(Inventory!AC18,4)="IEER",12/Inventory!CK18,"")</f>
        <v/>
      </c>
      <c r="AX12" t="str">
        <f>IF(M12="Early Retirement",Inventory!CA18,"")</f>
        <v/>
      </c>
      <c r="AY12" t="e">
        <f ca="1">Inventory!CH18</f>
        <v>#N/A</v>
      </c>
      <c r="AZ12" t="str">
        <f>Inventory!CK18</f>
        <v/>
      </c>
      <c r="BA12" t="str">
        <f>IF(AND(M12="Early Retirement",Inventory!BA18=1),12/3.412/Inventory!CB18,"")</f>
        <v/>
      </c>
      <c r="BB12" t="str">
        <f>IF(Inventory!BA18=1,12/3.412/Inventory!CI18,"")</f>
        <v/>
      </c>
      <c r="BC12" t="str">
        <f>IF(Inventory!BA18=1,12/3.412/Inventory!CL18,"")</f>
        <v/>
      </c>
      <c r="BD12" t="str">
        <f>IF(AND(M12="Early Retirement",Inventory!BA18=1,LEFT(Inventory!AE18,4)="HSPF"),12/Inventory!CB18,"")</f>
        <v/>
      </c>
      <c r="BE12" t="str">
        <f>IF(AND(Inventory!BA18=1,LEFT(Inventory!AE18,4)="HSPF"),12/Inventory!CI18,"")</f>
        <v/>
      </c>
      <c r="BF12" t="str">
        <f>IF(AND(Inventory!BA18=1,LEFT(Inventory!AE18,4)="HSPF"),12/Inventory!CL18,"")</f>
        <v/>
      </c>
      <c r="BG12" t="str">
        <f>IF(AND(M12="Early Retirement",RIGHT(Inventory!G18,7)&lt;&gt;"Chiller"),Inventory!H18*IF(Inventory!I18="Btuh",1,12000),"")</f>
        <v/>
      </c>
      <c r="BH12" t="str">
        <f>IF(M12="Early Retirement",Inventory!H18/IF(Inventory!I18="Btuh",12000,1),"")</f>
        <v/>
      </c>
      <c r="BI12">
        <f>IF(RIGHT(Inventory!Q18,7)="Chiller","",Inventory!BP18)</f>
        <v>0</v>
      </c>
      <c r="BJ12">
        <f>Inventory!BN18</f>
        <v>0</v>
      </c>
      <c r="BK12" t="str">
        <f>IF(AND(M12="Early Retirement",Inventory!BA18=1),Inventory!BQ18*12000,"")</f>
        <v/>
      </c>
      <c r="BL12" t="str">
        <f>IF(Inventory!BA18=1,Inventory!BQ18*12000,"")</f>
        <v/>
      </c>
      <c r="BM12" s="631" t="e">
        <f>Inventory!DH18</f>
        <v>#N/A</v>
      </c>
      <c r="BN12">
        <f>IF(ISNUMBER(Inventory!AN18),Inventory!AN18,0)</f>
        <v>0</v>
      </c>
      <c r="BO12">
        <f>IF(ISNUMBER(Inventory!AO18),Inventory!AO18,0)</f>
        <v>0</v>
      </c>
      <c r="BP12">
        <f>0</f>
        <v>0</v>
      </c>
      <c r="BQ12" s="631">
        <f>IF(ISNUMBER(Inventory!AP18),Inventory!AP18,0)</f>
        <v>0</v>
      </c>
      <c r="BR12" s="421">
        <f>Inventory!AQ18</f>
        <v>0</v>
      </c>
    </row>
    <row r="13" spans="1:70" x14ac:dyDescent="0.25">
      <c r="A13" s="933"/>
      <c r="B13" s="933"/>
      <c r="C13" s="933"/>
      <c r="D13" s="933"/>
      <c r="E13" s="933"/>
      <c r="F13" s="933"/>
      <c r="G13" s="611"/>
      <c r="I13">
        <f t="shared" si="0"/>
        <v>0</v>
      </c>
      <c r="J13">
        <f t="shared" si="1"/>
        <v>0</v>
      </c>
      <c r="K13" t="e">
        <f>INDEX('Equipment Lookups'!$L$54:$AQ$67,MATCH(Inventory!Q19,'Equipment Lookups'!$J$54:$J$67,0),MATCH('Utility Admin'!$F$2&amp;DSMTEnviro,'Equipment Lookups'!$L$52:$AQ$52,0))</f>
        <v>#N/A</v>
      </c>
      <c r="L13" t="e" cm="1">
        <f t="array" ref="L13">INDEX('Equipment Lookups'!$L$54:$AQ$67,MATCH(Inventory!Q19,'Equipment Lookups'!$J$54:$J$67,0),MATCH('Utility Admin'!$F$2&amp;DSMTEnviro,'Equipment Lookups'!$L$52:$AQ$52,0)+1)</f>
        <v>#N/A</v>
      </c>
      <c r="M13">
        <f>Inventory!B19</f>
        <v>0</v>
      </c>
      <c r="N13">
        <f>Inventory!C19</f>
        <v>0</v>
      </c>
      <c r="O13">
        <f>_xlfn.NUMBERVALUE(RIGHT('Project Info'!$D$9,1))</f>
        <v>0</v>
      </c>
      <c r="P13" s="631" t="str">
        <f ca="1">Inventory!BW19</f>
        <v>-</v>
      </c>
      <c r="Q13" s="631">
        <f ca="1">IF(ISNUMBER(Inventory!BX19),Inventory!BX19,0)</f>
        <v>0</v>
      </c>
      <c r="R13" s="641">
        <f>Inventory!BY19</f>
        <v>0</v>
      </c>
      <c r="S13" s="630" t="str">
        <f ca="1">Inventory!BV19</f>
        <v>-</v>
      </c>
      <c r="T13">
        <f>0</f>
        <v>0</v>
      </c>
      <c r="U13" t="str">
        <f>IF(Inventory!D19="","",Inventory!D19)</f>
        <v/>
      </c>
      <c r="V13" t="str">
        <f>IF(Inventory!E19="","",Inventory!E19)</f>
        <v/>
      </c>
      <c r="W13" t="str">
        <f>IF(M13="Early Retirement",Inventory!G19,"")</f>
        <v/>
      </c>
      <c r="X13" t="str">
        <f>IF(Inventory!BK19&gt;0,Inventory!BK19,"")</f>
        <v/>
      </c>
      <c r="Y13" s="631" t="str">
        <f>IF(M13="Early Retirement",Inventory!DF19,"")</f>
        <v/>
      </c>
      <c r="Z13">
        <f>Inventory!M19</f>
        <v>0</v>
      </c>
      <c r="AA13">
        <f>Inventory!N19</f>
        <v>0</v>
      </c>
      <c r="AB13">
        <f>Inventory!P19</f>
        <v>0</v>
      </c>
      <c r="AC13" t="e">
        <f>IF(AND(Inventory!BU19="DX",Inventory!V19&lt;&gt;""),Inventory!V19,"")</f>
        <v>#N/A</v>
      </c>
      <c r="AD13" t="e">
        <f>IF(Inventory!BU19="PTRoom",Inventory!V19,"")</f>
        <v>#N/A</v>
      </c>
      <c r="AE13" t="e">
        <f t="shared" si="3"/>
        <v>#N/A</v>
      </c>
      <c r="AF13" t="e">
        <f t="shared" si="5"/>
        <v>#N/A</v>
      </c>
      <c r="AG13" t="e">
        <f t="shared" si="6"/>
        <v>#N/A</v>
      </c>
      <c r="AH13" t="str">
        <f>IF(RIGHT(Inventory!Q19,7)="Chiller",Inventory!V19,"")</f>
        <v/>
      </c>
      <c r="AI13" t="str">
        <f>IF(RIGHT(Inventory!Q19,7)="Chiller",Inventory!X19,"")</f>
        <v/>
      </c>
      <c r="AJ13" t="str">
        <f>IF(M13="Early Retirement",Inventory!K19,"")</f>
        <v/>
      </c>
      <c r="AK13">
        <f>Inventory!AF19</f>
        <v>0</v>
      </c>
      <c r="AL13" t="str">
        <f>IF(AND(M13="Early Retirement",LEFT(Inventory!AC19,3)="EER"),12/Inventory!CJ19,"")</f>
        <v/>
      </c>
      <c r="AM13" t="str">
        <f>IF(LEFT(Inventory!AC19,3)="EER",12/Inventory!CG19,"")</f>
        <v/>
      </c>
      <c r="AN13" t="str">
        <f>IF(LEFT(Inventory!AC19,3)="EER",12/Inventory!CJ19,"")</f>
        <v/>
      </c>
      <c r="AO13" t="str">
        <f>IF(M13="Early Retirement",Inventory!BZ19,"")</f>
        <v/>
      </c>
      <c r="AP13" t="e">
        <f ca="1">Inventory!CG19</f>
        <v>#N/A</v>
      </c>
      <c r="AQ13" t="str">
        <f>Inventory!CJ19</f>
        <v/>
      </c>
      <c r="AR13" t="str">
        <f>IF(AND(M13="Early Retirement",OR(AND(LEFT(Inventory!AC19,3)="EER",Inventory!BN19&lt;=5.42),Inventory!Q19="Air Cooled Chiller")),12/Inventory!CA19,"")</f>
        <v/>
      </c>
      <c r="AS13" t="str">
        <f>IF(OR(AND(LEFT(Inventory!AC19,3)="EER",Inventory!BN19&lt;=5.42),Inventory!Q19="Air Cooled Chiller"),12/Inventory!CH19,"")</f>
        <v/>
      </c>
      <c r="AT13" t="str">
        <f>IF(OR(AND(LEFT(Inventory!AC19,3)="EER",Inventory!BN19&lt;=5.42),Inventory!Q19="Air Cooled Chiller"),12/Inventory!CK19,"")</f>
        <v/>
      </c>
      <c r="AU13" t="str">
        <f>IF(AND(M13="Early Retirement",RIGHT(Inventory!AC19,4)="IEER"),12/Inventory!CA19,"")</f>
        <v/>
      </c>
      <c r="AV13" t="str">
        <f>IF(RIGHT(Inventory!AC19,4)="IEER",12/Inventory!CH19,"")</f>
        <v/>
      </c>
      <c r="AW13" t="str">
        <f>IF(RIGHT(Inventory!AC19,4)="IEER",12/Inventory!CK19,"")</f>
        <v/>
      </c>
      <c r="AX13" t="str">
        <f>IF(M13="Early Retirement",Inventory!CA19,"")</f>
        <v/>
      </c>
      <c r="AY13" t="e">
        <f ca="1">Inventory!CH19</f>
        <v>#N/A</v>
      </c>
      <c r="AZ13" t="str">
        <f>Inventory!CK19</f>
        <v/>
      </c>
      <c r="BA13" t="str">
        <f>IF(AND(M13="Early Retirement",Inventory!BA19=1),12/3.412/Inventory!CB19,"")</f>
        <v/>
      </c>
      <c r="BB13" t="str">
        <f>IF(Inventory!BA19=1,12/3.412/Inventory!CI19,"")</f>
        <v/>
      </c>
      <c r="BC13" t="str">
        <f>IF(Inventory!BA19=1,12/3.412/Inventory!CL19,"")</f>
        <v/>
      </c>
      <c r="BD13" t="str">
        <f>IF(AND(M13="Early Retirement",Inventory!BA19=1,LEFT(Inventory!AE19,4)="HSPF"),12/Inventory!CB19,"")</f>
        <v/>
      </c>
      <c r="BE13" t="str">
        <f>IF(AND(Inventory!BA19=1,LEFT(Inventory!AE19,4)="HSPF"),12/Inventory!CI19,"")</f>
        <v/>
      </c>
      <c r="BF13" t="str">
        <f>IF(AND(Inventory!BA19=1,LEFT(Inventory!AE19,4)="HSPF"),12/Inventory!CL19,"")</f>
        <v/>
      </c>
      <c r="BG13" t="str">
        <f>IF(AND(M13="Early Retirement",RIGHT(Inventory!G19,7)&lt;&gt;"Chiller"),Inventory!H19*IF(Inventory!I19="Btuh",1,12000),"")</f>
        <v/>
      </c>
      <c r="BH13" t="str">
        <f>IF(M13="Early Retirement",Inventory!H19/IF(Inventory!I19="Btuh",12000,1),"")</f>
        <v/>
      </c>
      <c r="BI13">
        <f>IF(RIGHT(Inventory!Q19,7)="Chiller","",Inventory!BP19)</f>
        <v>0</v>
      </c>
      <c r="BJ13">
        <f>Inventory!BN19</f>
        <v>0</v>
      </c>
      <c r="BK13" t="str">
        <f>IF(AND(M13="Early Retirement",Inventory!BA19=1),Inventory!BQ19*12000,"")</f>
        <v/>
      </c>
      <c r="BL13" t="str">
        <f>IF(Inventory!BA19=1,Inventory!BQ19*12000,"")</f>
        <v/>
      </c>
      <c r="BM13" s="631" t="e">
        <f>Inventory!DH19</f>
        <v>#N/A</v>
      </c>
      <c r="BN13">
        <f>IF(ISNUMBER(Inventory!AN19),Inventory!AN19,0)</f>
        <v>0</v>
      </c>
      <c r="BO13">
        <f>IF(ISNUMBER(Inventory!AO19),Inventory!AO19,0)</f>
        <v>0</v>
      </c>
      <c r="BP13">
        <f>0</f>
        <v>0</v>
      </c>
      <c r="BQ13" s="631">
        <f>IF(ISNUMBER(Inventory!AP19),Inventory!AP19,0)</f>
        <v>0</v>
      </c>
      <c r="BR13" s="421">
        <f>Inventory!AQ19</f>
        <v>0</v>
      </c>
    </row>
    <row r="14" spans="1:70" ht="15" customHeight="1" x14ac:dyDescent="0.25">
      <c r="A14" s="933" t="s">
        <v>1246</v>
      </c>
      <c r="B14" s="933"/>
      <c r="C14" s="933"/>
      <c r="D14" s="933"/>
      <c r="E14" s="933"/>
      <c r="F14" s="933"/>
      <c r="G14" s="611"/>
      <c r="I14">
        <f t="shared" si="0"/>
        <v>0</v>
      </c>
      <c r="J14">
        <f t="shared" si="1"/>
        <v>0</v>
      </c>
      <c r="K14" t="e">
        <f>INDEX('Equipment Lookups'!$L$54:$AQ$67,MATCH(Inventory!Q20,'Equipment Lookups'!$J$54:$J$67,0),MATCH('Utility Admin'!$F$2&amp;DSMTEnviro,'Equipment Lookups'!$L$52:$AQ$52,0))</f>
        <v>#N/A</v>
      </c>
      <c r="L14" t="e" cm="1">
        <f t="array" ref="L14">INDEX('Equipment Lookups'!$L$54:$AQ$67,MATCH(Inventory!Q20,'Equipment Lookups'!$J$54:$J$67,0),MATCH('Utility Admin'!$F$2&amp;DSMTEnviro,'Equipment Lookups'!$L$52:$AQ$52,0)+1)</f>
        <v>#N/A</v>
      </c>
      <c r="M14">
        <f>Inventory!B20</f>
        <v>0</v>
      </c>
      <c r="N14">
        <f>Inventory!C20</f>
        <v>0</v>
      </c>
      <c r="O14">
        <f>_xlfn.NUMBERVALUE(RIGHT('Project Info'!$D$9,1))</f>
        <v>0</v>
      </c>
      <c r="P14" s="631" t="str">
        <f ca="1">Inventory!BW20</f>
        <v>-</v>
      </c>
      <c r="Q14" s="631">
        <f ca="1">IF(ISNUMBER(Inventory!BX20),Inventory!BX20,0)</f>
        <v>0</v>
      </c>
      <c r="R14" s="641">
        <f>Inventory!BY20</f>
        <v>0</v>
      </c>
      <c r="S14" s="630" t="str">
        <f ca="1">Inventory!BV20</f>
        <v>-</v>
      </c>
      <c r="T14">
        <f>0</f>
        <v>0</v>
      </c>
      <c r="U14" t="str">
        <f>IF(Inventory!D20="","",Inventory!D20)</f>
        <v/>
      </c>
      <c r="V14" t="str">
        <f>IF(Inventory!E20="","",Inventory!E20)</f>
        <v/>
      </c>
      <c r="W14" t="str">
        <f>IF(M14="Early Retirement",Inventory!G20,"")</f>
        <v/>
      </c>
      <c r="X14" t="str">
        <f>IF(Inventory!BK20&gt;0,Inventory!BK20,"")</f>
        <v/>
      </c>
      <c r="Y14" s="631" t="str">
        <f>IF(M14="Early Retirement",Inventory!DF20,"")</f>
        <v/>
      </c>
      <c r="Z14">
        <f>Inventory!M20</f>
        <v>0</v>
      </c>
      <c r="AA14">
        <f>Inventory!N20</f>
        <v>0</v>
      </c>
      <c r="AB14">
        <f>Inventory!P20</f>
        <v>0</v>
      </c>
      <c r="AC14" t="e">
        <f>IF(AND(Inventory!BU20="DX",Inventory!V20&lt;&gt;""),Inventory!V20,"")</f>
        <v>#N/A</v>
      </c>
      <c r="AD14" t="e">
        <f>IF(Inventory!BU20="PTRoom",Inventory!V20,"")</f>
        <v>#N/A</v>
      </c>
      <c r="AE14" t="e">
        <f t="shared" si="3"/>
        <v>#N/A</v>
      </c>
      <c r="AF14" t="e">
        <f t="shared" si="5"/>
        <v>#N/A</v>
      </c>
      <c r="AG14" t="e">
        <f t="shared" si="6"/>
        <v>#N/A</v>
      </c>
      <c r="AH14" t="str">
        <f>IF(RIGHT(Inventory!Q20,7)="Chiller",Inventory!V20,"")</f>
        <v/>
      </c>
      <c r="AI14" t="str">
        <f>IF(RIGHT(Inventory!Q20,7)="Chiller",Inventory!X20,"")</f>
        <v/>
      </c>
      <c r="AJ14" t="str">
        <f>IF(M14="Early Retirement",Inventory!K20,"")</f>
        <v/>
      </c>
      <c r="AK14">
        <f>Inventory!AF20</f>
        <v>0</v>
      </c>
      <c r="AL14" t="str">
        <f>IF(AND(M14="Early Retirement",LEFT(Inventory!AC20,3)="EER"),12/Inventory!CJ20,"")</f>
        <v/>
      </c>
      <c r="AM14" t="str">
        <f>IF(LEFT(Inventory!AC20,3)="EER",12/Inventory!CG20,"")</f>
        <v/>
      </c>
      <c r="AN14" t="str">
        <f>IF(LEFT(Inventory!AC20,3)="EER",12/Inventory!CJ20,"")</f>
        <v/>
      </c>
      <c r="AO14" t="str">
        <f>IF(M14="Early Retirement",Inventory!BZ20,"")</f>
        <v/>
      </c>
      <c r="AP14" t="e">
        <f ca="1">Inventory!CG20</f>
        <v>#N/A</v>
      </c>
      <c r="AQ14" t="str">
        <f>Inventory!CJ20</f>
        <v/>
      </c>
      <c r="AR14" t="str">
        <f>IF(AND(M14="Early Retirement",OR(AND(LEFT(Inventory!AC20,3)="EER",Inventory!BN20&lt;=5.42),Inventory!Q20="Air Cooled Chiller")),12/Inventory!CA20,"")</f>
        <v/>
      </c>
      <c r="AS14" t="str">
        <f>IF(OR(AND(LEFT(Inventory!AC20,3)="EER",Inventory!BN20&lt;=5.42),Inventory!Q20="Air Cooled Chiller"),12/Inventory!CH20,"")</f>
        <v/>
      </c>
      <c r="AT14" t="str">
        <f>IF(OR(AND(LEFT(Inventory!AC20,3)="EER",Inventory!BN20&lt;=5.42),Inventory!Q20="Air Cooled Chiller"),12/Inventory!CK20,"")</f>
        <v/>
      </c>
      <c r="AU14" t="str">
        <f>IF(AND(M14="Early Retirement",RIGHT(Inventory!AC20,4)="IEER"),12/Inventory!CA20,"")</f>
        <v/>
      </c>
      <c r="AV14" t="str">
        <f>IF(RIGHT(Inventory!AC20,4)="IEER",12/Inventory!CH20,"")</f>
        <v/>
      </c>
      <c r="AW14" t="str">
        <f>IF(RIGHT(Inventory!AC20,4)="IEER",12/Inventory!CK20,"")</f>
        <v/>
      </c>
      <c r="AX14" t="str">
        <f>IF(M14="Early Retirement",Inventory!CA20,"")</f>
        <v/>
      </c>
      <c r="AY14" t="e">
        <f ca="1">Inventory!CH20</f>
        <v>#N/A</v>
      </c>
      <c r="AZ14" t="str">
        <f>Inventory!CK20</f>
        <v/>
      </c>
      <c r="BA14" t="str">
        <f>IF(AND(M14="Early Retirement",Inventory!BA20=1),12/3.412/Inventory!CB20,"")</f>
        <v/>
      </c>
      <c r="BB14" t="str">
        <f>IF(Inventory!BA20=1,12/3.412/Inventory!CI20,"")</f>
        <v/>
      </c>
      <c r="BC14" t="str">
        <f>IF(Inventory!BA20=1,12/3.412/Inventory!CL20,"")</f>
        <v/>
      </c>
      <c r="BD14" t="str">
        <f>IF(AND(M14="Early Retirement",Inventory!BA20=1,LEFT(Inventory!AE20,4)="HSPF"),12/Inventory!CB20,"")</f>
        <v/>
      </c>
      <c r="BE14" t="str">
        <f>IF(AND(Inventory!BA20=1,LEFT(Inventory!AE20,4)="HSPF"),12/Inventory!CI20,"")</f>
        <v/>
      </c>
      <c r="BF14" t="str">
        <f>IF(AND(Inventory!BA20=1,LEFT(Inventory!AE20,4)="HSPF"),12/Inventory!CL20,"")</f>
        <v/>
      </c>
      <c r="BG14" t="str">
        <f>IF(AND(M14="Early Retirement",RIGHT(Inventory!G20,7)&lt;&gt;"Chiller"),Inventory!H20*IF(Inventory!I20="Btuh",1,12000),"")</f>
        <v/>
      </c>
      <c r="BH14" t="str">
        <f>IF(M14="Early Retirement",Inventory!H20/IF(Inventory!I20="Btuh",12000,1),"")</f>
        <v/>
      </c>
      <c r="BI14">
        <f>IF(RIGHT(Inventory!Q20,7)="Chiller","",Inventory!BP20)</f>
        <v>0</v>
      </c>
      <c r="BJ14">
        <f>Inventory!BN20</f>
        <v>0</v>
      </c>
      <c r="BK14" t="str">
        <f>IF(AND(M14="Early Retirement",Inventory!BA20=1),Inventory!BQ20*12000,"")</f>
        <v/>
      </c>
      <c r="BL14" t="str">
        <f>IF(Inventory!BA20=1,Inventory!BQ20*12000,"")</f>
        <v/>
      </c>
      <c r="BM14" s="631" t="e">
        <f>Inventory!DH20</f>
        <v>#N/A</v>
      </c>
      <c r="BN14">
        <f>IF(ISNUMBER(Inventory!AN20),Inventory!AN20,0)</f>
        <v>0</v>
      </c>
      <c r="BO14">
        <f>IF(ISNUMBER(Inventory!AO20),Inventory!AO20,0)</f>
        <v>0</v>
      </c>
      <c r="BP14">
        <f>0</f>
        <v>0</v>
      </c>
      <c r="BQ14" s="631">
        <f>IF(ISNUMBER(Inventory!AP20),Inventory!AP20,0)</f>
        <v>0</v>
      </c>
      <c r="BR14" s="421">
        <f>Inventory!AQ20</f>
        <v>0</v>
      </c>
    </row>
    <row r="15" spans="1:70" x14ac:dyDescent="0.25">
      <c r="A15" s="933"/>
      <c r="B15" s="933"/>
      <c r="C15" s="933"/>
      <c r="D15" s="933"/>
      <c r="E15" s="933"/>
      <c r="F15" s="933"/>
      <c r="G15" s="611"/>
      <c r="I15">
        <f t="shared" si="0"/>
        <v>0</v>
      </c>
      <c r="J15">
        <f t="shared" si="1"/>
        <v>0</v>
      </c>
      <c r="K15" t="e">
        <f>INDEX('Equipment Lookups'!$L$54:$AQ$67,MATCH(Inventory!Q21,'Equipment Lookups'!$J$54:$J$67,0),MATCH('Utility Admin'!$F$2&amp;DSMTEnviro,'Equipment Lookups'!$L$52:$AQ$52,0))</f>
        <v>#N/A</v>
      </c>
      <c r="L15" t="e" cm="1">
        <f t="array" ref="L15">INDEX('Equipment Lookups'!$L$54:$AQ$67,MATCH(Inventory!Q21,'Equipment Lookups'!$J$54:$J$67,0),MATCH('Utility Admin'!$F$2&amp;DSMTEnviro,'Equipment Lookups'!$L$52:$AQ$52,0)+1)</f>
        <v>#N/A</v>
      </c>
      <c r="M15">
        <f>Inventory!B21</f>
        <v>0</v>
      </c>
      <c r="N15">
        <f>Inventory!C21</f>
        <v>0</v>
      </c>
      <c r="O15">
        <f>_xlfn.NUMBERVALUE(RIGHT('Project Info'!$D$9,1))</f>
        <v>0</v>
      </c>
      <c r="P15" s="631" t="str">
        <f ca="1">Inventory!BW21</f>
        <v>-</v>
      </c>
      <c r="Q15" s="631">
        <f ca="1">IF(ISNUMBER(Inventory!BX21),Inventory!BX21,0)</f>
        <v>0</v>
      </c>
      <c r="R15" s="641">
        <f>Inventory!BY21</f>
        <v>0</v>
      </c>
      <c r="S15" s="630" t="str">
        <f ca="1">Inventory!BV21</f>
        <v>-</v>
      </c>
      <c r="T15">
        <f>0</f>
        <v>0</v>
      </c>
      <c r="U15" t="str">
        <f>IF(Inventory!D21="","",Inventory!D21)</f>
        <v/>
      </c>
      <c r="V15" t="str">
        <f>IF(Inventory!E21="","",Inventory!E21)</f>
        <v/>
      </c>
      <c r="W15" t="str">
        <f>IF(M15="Early Retirement",Inventory!G21,"")</f>
        <v/>
      </c>
      <c r="X15" t="str">
        <f>IF(Inventory!BK21&gt;0,Inventory!BK21,"")</f>
        <v/>
      </c>
      <c r="Y15" s="631" t="str">
        <f>IF(M15="Early Retirement",Inventory!DF21,"")</f>
        <v/>
      </c>
      <c r="Z15">
        <f>Inventory!M21</f>
        <v>0</v>
      </c>
      <c r="AA15">
        <f>Inventory!N21</f>
        <v>0</v>
      </c>
      <c r="AB15">
        <f>Inventory!P21</f>
        <v>0</v>
      </c>
      <c r="AC15" t="e">
        <f>IF(AND(Inventory!BU21="DX",Inventory!V21&lt;&gt;""),Inventory!V21,"")</f>
        <v>#N/A</v>
      </c>
      <c r="AD15" t="e">
        <f>IF(Inventory!BU21="PTRoom",Inventory!V21,"")</f>
        <v>#N/A</v>
      </c>
      <c r="AE15" t="e">
        <f t="shared" si="3"/>
        <v>#N/A</v>
      </c>
      <c r="AF15" t="e">
        <f t="shared" si="5"/>
        <v>#N/A</v>
      </c>
      <c r="AG15" t="e">
        <f t="shared" si="6"/>
        <v>#N/A</v>
      </c>
      <c r="AH15" t="str">
        <f>IF(RIGHT(Inventory!Q21,7)="Chiller",Inventory!V21,"")</f>
        <v/>
      </c>
      <c r="AI15" t="str">
        <f>IF(RIGHT(Inventory!Q21,7)="Chiller",Inventory!X21,"")</f>
        <v/>
      </c>
      <c r="AJ15" t="str">
        <f>IF(M15="Early Retirement",Inventory!K21,"")</f>
        <v/>
      </c>
      <c r="AK15">
        <f>Inventory!AF21</f>
        <v>0</v>
      </c>
      <c r="AL15" t="str">
        <f>IF(AND(M15="Early Retirement",LEFT(Inventory!AC21,3)="EER"),12/Inventory!CJ21,"")</f>
        <v/>
      </c>
      <c r="AM15" t="str">
        <f>IF(LEFT(Inventory!AC21,3)="EER",12/Inventory!CG21,"")</f>
        <v/>
      </c>
      <c r="AN15" t="str">
        <f>IF(LEFT(Inventory!AC21,3)="EER",12/Inventory!CJ21,"")</f>
        <v/>
      </c>
      <c r="AO15" t="str">
        <f>IF(M15="Early Retirement",Inventory!BZ21,"")</f>
        <v/>
      </c>
      <c r="AP15" t="e">
        <f ca="1">Inventory!CG21</f>
        <v>#N/A</v>
      </c>
      <c r="AQ15" t="str">
        <f>Inventory!CJ21</f>
        <v/>
      </c>
      <c r="AR15" t="str">
        <f>IF(AND(M15="Early Retirement",OR(AND(LEFT(Inventory!AC21,3)="EER",Inventory!BN21&lt;=5.42),Inventory!Q21="Air Cooled Chiller")),12/Inventory!CA21,"")</f>
        <v/>
      </c>
      <c r="AS15" t="str">
        <f>IF(OR(AND(LEFT(Inventory!AC21,3)="EER",Inventory!BN21&lt;=5.42),Inventory!Q21="Air Cooled Chiller"),12/Inventory!CH21,"")</f>
        <v/>
      </c>
      <c r="AT15" t="str">
        <f>IF(OR(AND(LEFT(Inventory!AC21,3)="EER",Inventory!BN21&lt;=5.42),Inventory!Q21="Air Cooled Chiller"),12/Inventory!CK21,"")</f>
        <v/>
      </c>
      <c r="AU15" t="str">
        <f>IF(AND(M15="Early Retirement",RIGHT(Inventory!AC21,4)="IEER"),12/Inventory!CA21,"")</f>
        <v/>
      </c>
      <c r="AV15" t="str">
        <f>IF(RIGHT(Inventory!AC21,4)="IEER",12/Inventory!CH21,"")</f>
        <v/>
      </c>
      <c r="AW15" t="str">
        <f>IF(RIGHT(Inventory!AC21,4)="IEER",12/Inventory!CK21,"")</f>
        <v/>
      </c>
      <c r="AX15" t="str">
        <f>IF(M15="Early Retirement",Inventory!CA21,"")</f>
        <v/>
      </c>
      <c r="AY15" t="e">
        <f ca="1">Inventory!CH21</f>
        <v>#N/A</v>
      </c>
      <c r="AZ15" t="str">
        <f>Inventory!CK21</f>
        <v/>
      </c>
      <c r="BA15" t="str">
        <f>IF(AND(M15="Early Retirement",Inventory!BA21=1),12/3.412/Inventory!CB21,"")</f>
        <v/>
      </c>
      <c r="BB15" t="str">
        <f>IF(Inventory!BA21=1,12/3.412/Inventory!CI21,"")</f>
        <v/>
      </c>
      <c r="BC15" t="str">
        <f>IF(Inventory!BA21=1,12/3.412/Inventory!CL21,"")</f>
        <v/>
      </c>
      <c r="BD15" t="str">
        <f>IF(AND(M15="Early Retirement",Inventory!BA21=1,LEFT(Inventory!AE21,4)="HSPF"),12/Inventory!CB21,"")</f>
        <v/>
      </c>
      <c r="BE15" t="str">
        <f>IF(AND(Inventory!BA21=1,LEFT(Inventory!AE21,4)="HSPF"),12/Inventory!CI21,"")</f>
        <v/>
      </c>
      <c r="BF15" t="str">
        <f>IF(AND(Inventory!BA21=1,LEFT(Inventory!AE21,4)="HSPF"),12/Inventory!CL21,"")</f>
        <v/>
      </c>
      <c r="BG15" t="str">
        <f>IF(AND(M15="Early Retirement",RIGHT(Inventory!G21,7)&lt;&gt;"Chiller"),Inventory!H21*IF(Inventory!I21="Btuh",1,12000),"")</f>
        <v/>
      </c>
      <c r="BH15" t="str">
        <f>IF(M15="Early Retirement",Inventory!H21/IF(Inventory!I21="Btuh",12000,1),"")</f>
        <v/>
      </c>
      <c r="BI15">
        <f>IF(RIGHT(Inventory!Q21,7)="Chiller","",Inventory!BP21)</f>
        <v>0</v>
      </c>
      <c r="BJ15">
        <f>Inventory!BN21</f>
        <v>0</v>
      </c>
      <c r="BK15" t="str">
        <f>IF(AND(M15="Early Retirement",Inventory!BA21=1),Inventory!BQ21*12000,"")</f>
        <v/>
      </c>
      <c r="BL15" t="str">
        <f>IF(Inventory!BA21=1,Inventory!BQ21*12000,"")</f>
        <v/>
      </c>
      <c r="BM15" s="631" t="e">
        <f>Inventory!DH21</f>
        <v>#N/A</v>
      </c>
      <c r="BN15">
        <f>IF(ISNUMBER(Inventory!AN21),Inventory!AN21,0)</f>
        <v>0</v>
      </c>
      <c r="BO15">
        <f>IF(ISNUMBER(Inventory!AO21),Inventory!AO21,0)</f>
        <v>0</v>
      </c>
      <c r="BP15">
        <f>0</f>
        <v>0</v>
      </c>
      <c r="BQ15" s="631">
        <f>IF(ISNUMBER(Inventory!AP21),Inventory!AP21,0)</f>
        <v>0</v>
      </c>
      <c r="BR15" s="421">
        <f>Inventory!AQ21</f>
        <v>0</v>
      </c>
    </row>
    <row r="16" spans="1:70" x14ac:dyDescent="0.25">
      <c r="A16" s="621"/>
      <c r="B16" s="621"/>
      <c r="C16" s="621"/>
      <c r="D16" s="621"/>
      <c r="E16" s="621"/>
      <c r="F16" s="621"/>
      <c r="G16" s="611"/>
      <c r="I16">
        <f t="shared" si="0"/>
        <v>0</v>
      </c>
      <c r="J16">
        <f t="shared" si="1"/>
        <v>0</v>
      </c>
      <c r="K16" t="e">
        <f>INDEX('Equipment Lookups'!$L$54:$AQ$67,MATCH(Inventory!Q22,'Equipment Lookups'!$J$54:$J$67,0),MATCH('Utility Admin'!$F$2&amp;DSMTEnviro,'Equipment Lookups'!$L$52:$AQ$52,0))</f>
        <v>#N/A</v>
      </c>
      <c r="L16" t="e" cm="1">
        <f t="array" ref="L16">INDEX('Equipment Lookups'!$L$54:$AQ$67,MATCH(Inventory!Q22,'Equipment Lookups'!$J$54:$J$67,0),MATCH('Utility Admin'!$F$2&amp;DSMTEnviro,'Equipment Lookups'!$L$52:$AQ$52,0)+1)</f>
        <v>#N/A</v>
      </c>
      <c r="M16">
        <f>Inventory!B22</f>
        <v>0</v>
      </c>
      <c r="N16">
        <f>Inventory!C22</f>
        <v>0</v>
      </c>
      <c r="O16">
        <f>_xlfn.NUMBERVALUE(RIGHT('Project Info'!$D$9,1))</f>
        <v>0</v>
      </c>
      <c r="P16" s="631" t="str">
        <f ca="1">Inventory!BW22</f>
        <v>-</v>
      </c>
      <c r="Q16" s="631">
        <f ca="1">IF(ISNUMBER(Inventory!BX22),Inventory!BX22,0)</f>
        <v>0</v>
      </c>
      <c r="R16" s="629">
        <f>Inventory!BY22</f>
        <v>0</v>
      </c>
      <c r="S16" s="630" t="str">
        <f ca="1">Inventory!BV22</f>
        <v>-</v>
      </c>
      <c r="T16">
        <f>0</f>
        <v>0</v>
      </c>
      <c r="U16" t="str">
        <f>IF(Inventory!D22="","",Inventory!D22)</f>
        <v/>
      </c>
      <c r="V16" t="str">
        <f>IF(Inventory!E22="","",Inventory!E22)</f>
        <v/>
      </c>
      <c r="W16" t="str">
        <f>IF(M16="Early Retirement",Inventory!G22,"")</f>
        <v/>
      </c>
      <c r="X16" t="str">
        <f>IF(Inventory!BK22&gt;0,Inventory!BK22,"")</f>
        <v/>
      </c>
      <c r="Y16" s="631" t="str">
        <f>IF(M16="Early Retirement",Inventory!DF22,"")</f>
        <v/>
      </c>
      <c r="Z16">
        <f>Inventory!M22</f>
        <v>0</v>
      </c>
      <c r="AA16">
        <f>Inventory!N22</f>
        <v>0</v>
      </c>
      <c r="AB16">
        <f>Inventory!P22</f>
        <v>0</v>
      </c>
      <c r="AC16" t="e">
        <f>IF(AND(Inventory!BU22="DX",Inventory!V22&lt;&gt;""),Inventory!V22,"")</f>
        <v>#N/A</v>
      </c>
      <c r="AD16" t="e">
        <f>IF(Inventory!BU22="PTRoom",Inventory!V22,"")</f>
        <v>#N/A</v>
      </c>
      <c r="AE16" t="e">
        <f t="shared" si="3"/>
        <v>#N/A</v>
      </c>
      <c r="AF16" t="e">
        <f t="shared" si="5"/>
        <v>#N/A</v>
      </c>
      <c r="AG16" t="e">
        <f t="shared" si="6"/>
        <v>#N/A</v>
      </c>
      <c r="AH16" t="str">
        <f>IF(RIGHT(Inventory!Q22,7)="Chiller",Inventory!V22,"")</f>
        <v/>
      </c>
      <c r="AI16" t="str">
        <f>IF(RIGHT(Inventory!Q22,7)="Chiller",Inventory!X22,"")</f>
        <v/>
      </c>
      <c r="AJ16" t="str">
        <f>IF(M16="Early Retirement",Inventory!K22,"")</f>
        <v/>
      </c>
      <c r="AK16">
        <f>Inventory!AF22</f>
        <v>0</v>
      </c>
      <c r="AL16" t="str">
        <f>IF(AND(M16="Early Retirement",LEFT(Inventory!AC22,3)="EER"),12/Inventory!CJ22,"")</f>
        <v/>
      </c>
      <c r="AM16" t="str">
        <f>IF(LEFT(Inventory!AC22,3)="EER",12/Inventory!CG22,"")</f>
        <v/>
      </c>
      <c r="AN16" t="str">
        <f>IF(LEFT(Inventory!AC22,3)="EER",12/Inventory!CJ22,"")</f>
        <v/>
      </c>
      <c r="AO16" t="str">
        <f>IF(M16="Early Retirement",Inventory!BZ22,"")</f>
        <v/>
      </c>
      <c r="AP16" t="e">
        <f ca="1">Inventory!CG22</f>
        <v>#N/A</v>
      </c>
      <c r="AQ16" t="str">
        <f>Inventory!CJ22</f>
        <v/>
      </c>
      <c r="AR16" t="str">
        <f>IF(AND(M16="Early Retirement",OR(AND(LEFT(Inventory!AC22,3)="EER",Inventory!BN22&lt;=5.42),Inventory!Q22="Air Cooled Chiller")),12/Inventory!CA22,"")</f>
        <v/>
      </c>
      <c r="AS16" t="str">
        <f>IF(OR(AND(LEFT(Inventory!AC22,3)="EER",Inventory!BN22&lt;=5.42),Inventory!Q22="Air Cooled Chiller"),12/Inventory!CH22,"")</f>
        <v/>
      </c>
      <c r="AT16" t="str">
        <f>IF(OR(AND(LEFT(Inventory!AC22,3)="EER",Inventory!BN22&lt;=5.42),Inventory!Q22="Air Cooled Chiller"),12/Inventory!CK22,"")</f>
        <v/>
      </c>
      <c r="AU16" t="str">
        <f>IF(AND(M16="Early Retirement",RIGHT(Inventory!AC22,4)="IEER"),12/Inventory!CA22,"")</f>
        <v/>
      </c>
      <c r="AV16" t="str">
        <f>IF(RIGHT(Inventory!AC22,4)="IEER",12/Inventory!CH22,"")</f>
        <v/>
      </c>
      <c r="AW16" t="str">
        <f>IF(RIGHT(Inventory!AC22,4)="IEER",12/Inventory!CK22,"")</f>
        <v/>
      </c>
      <c r="AX16" t="str">
        <f>IF(M16="Early Retirement",Inventory!CA22,"")</f>
        <v/>
      </c>
      <c r="AY16" t="e">
        <f ca="1">Inventory!CH22</f>
        <v>#N/A</v>
      </c>
      <c r="AZ16" t="str">
        <f>Inventory!CK22</f>
        <v/>
      </c>
      <c r="BA16" t="str">
        <f>IF(AND(M16="Early Retirement",Inventory!BA22=1),12/3.412/Inventory!CB22,"")</f>
        <v/>
      </c>
      <c r="BB16" t="str">
        <f>IF(Inventory!BA22=1,12/3.412/Inventory!CI22,"")</f>
        <v/>
      </c>
      <c r="BC16" t="str">
        <f>IF(Inventory!BA22=1,12/3.412/Inventory!CL22,"")</f>
        <v/>
      </c>
      <c r="BD16" t="str">
        <f>IF(AND(M16="Early Retirement",Inventory!BA22=1,LEFT(Inventory!AE22,4)="HSPF"),12/Inventory!CB22,"")</f>
        <v/>
      </c>
      <c r="BE16" t="str">
        <f>IF(AND(Inventory!BA22=1,LEFT(Inventory!AE22,4)="HSPF"),12/Inventory!CI22,"")</f>
        <v/>
      </c>
      <c r="BF16" t="str">
        <f>IF(AND(Inventory!BA22=1,LEFT(Inventory!AE22,4)="HSPF"),12/Inventory!CL22,"")</f>
        <v/>
      </c>
      <c r="BG16" t="str">
        <f>IF(AND(M16="Early Retirement",RIGHT(Inventory!G22,7)&lt;&gt;"Chiller"),Inventory!H22*IF(Inventory!I22="Btuh",1,12000),"")</f>
        <v/>
      </c>
      <c r="BH16" t="str">
        <f>IF(M16="Early Retirement",Inventory!H22/IF(Inventory!I22="Btuh",12000,1),"")</f>
        <v/>
      </c>
      <c r="BI16">
        <f>IF(RIGHT(Inventory!Q22,7)="Chiller","",Inventory!BP22)</f>
        <v>0</v>
      </c>
      <c r="BJ16">
        <f>Inventory!BN22</f>
        <v>0</v>
      </c>
      <c r="BK16" t="str">
        <f>IF(AND(M16="Early Retirement",Inventory!BA22=1),Inventory!BQ22*12000,"")</f>
        <v/>
      </c>
      <c r="BL16" t="str">
        <f>IF(Inventory!BA22=1,Inventory!BQ22*12000,"")</f>
        <v/>
      </c>
      <c r="BM16" s="631" t="e">
        <f>Inventory!DH22</f>
        <v>#N/A</v>
      </c>
      <c r="BN16">
        <f>IF(ISNUMBER(Inventory!AN22),Inventory!AN22,0)</f>
        <v>0</v>
      </c>
      <c r="BO16">
        <f>IF(ISNUMBER(Inventory!AO22),Inventory!AO22,0)</f>
        <v>0</v>
      </c>
      <c r="BP16">
        <f>0</f>
        <v>0</v>
      </c>
      <c r="BQ16" s="631">
        <f>IF(ISNUMBER(Inventory!AP22),Inventory!AP22,0)</f>
        <v>0</v>
      </c>
      <c r="BR16" s="421">
        <f>Inventory!AQ22</f>
        <v>0</v>
      </c>
    </row>
    <row r="17" spans="1:70" x14ac:dyDescent="0.25">
      <c r="A17" s="612" t="s">
        <v>1247</v>
      </c>
      <c r="B17" s="611"/>
      <c r="C17" s="611"/>
      <c r="D17" s="611"/>
      <c r="E17" s="611"/>
      <c r="F17" s="611"/>
      <c r="G17" s="611"/>
      <c r="I17">
        <f t="shared" si="0"/>
        <v>0</v>
      </c>
      <c r="J17">
        <f t="shared" si="1"/>
        <v>0</v>
      </c>
      <c r="K17" t="e">
        <f>INDEX('Equipment Lookups'!$L$54:$AQ$67,MATCH(Inventory!Q23,'Equipment Lookups'!$J$54:$J$67,0),MATCH('Utility Admin'!$F$2&amp;DSMTEnviro,'Equipment Lookups'!$L$52:$AQ$52,0))</f>
        <v>#N/A</v>
      </c>
      <c r="L17" t="e" cm="1">
        <f t="array" ref="L17">INDEX('Equipment Lookups'!$L$54:$AQ$67,MATCH(Inventory!Q23,'Equipment Lookups'!$J$54:$J$67,0),MATCH('Utility Admin'!$F$2&amp;DSMTEnviro,'Equipment Lookups'!$L$52:$AQ$52,0)+1)</f>
        <v>#N/A</v>
      </c>
      <c r="M17">
        <f>Inventory!B23</f>
        <v>0</v>
      </c>
      <c r="N17">
        <f>Inventory!C23</f>
        <v>0</v>
      </c>
      <c r="O17">
        <f>_xlfn.NUMBERVALUE(RIGHT('Project Info'!$D$9,1))</f>
        <v>0</v>
      </c>
      <c r="P17" s="631" t="str">
        <f ca="1">Inventory!BW23</f>
        <v>-</v>
      </c>
      <c r="Q17" s="631">
        <f ca="1">IF(ISNUMBER(Inventory!BX23),Inventory!BX23,0)</f>
        <v>0</v>
      </c>
      <c r="R17" s="629">
        <f>Inventory!BY23</f>
        <v>0</v>
      </c>
      <c r="S17" s="630" t="str">
        <f ca="1">Inventory!BV23</f>
        <v>-</v>
      </c>
      <c r="T17">
        <f>0</f>
        <v>0</v>
      </c>
      <c r="U17" t="str">
        <f>IF(Inventory!D23="","",Inventory!D23)</f>
        <v/>
      </c>
      <c r="V17" t="str">
        <f>IF(Inventory!E23="","",Inventory!E23)</f>
        <v/>
      </c>
      <c r="W17" t="str">
        <f>IF(M17="Early Retirement",Inventory!G23,"")</f>
        <v/>
      </c>
      <c r="X17" t="str">
        <f>IF(Inventory!BK23&gt;0,Inventory!BK23,"")</f>
        <v/>
      </c>
      <c r="Y17" s="631" t="str">
        <f>IF(M17="Early Retirement",Inventory!DF23,"")</f>
        <v/>
      </c>
      <c r="Z17">
        <f>Inventory!M23</f>
        <v>0</v>
      </c>
      <c r="AA17">
        <f>Inventory!N23</f>
        <v>0</v>
      </c>
      <c r="AB17">
        <f>Inventory!P23</f>
        <v>0</v>
      </c>
      <c r="AC17" t="e">
        <f>IF(AND(Inventory!BU23="DX",Inventory!V23&lt;&gt;""),Inventory!V23,"")</f>
        <v>#N/A</v>
      </c>
      <c r="AD17" t="e">
        <f>IF(Inventory!BU23="PTRoom",Inventory!V23,"")</f>
        <v>#N/A</v>
      </c>
      <c r="AE17" t="e">
        <f t="shared" si="3"/>
        <v>#N/A</v>
      </c>
      <c r="AF17" t="e">
        <f t="shared" si="5"/>
        <v>#N/A</v>
      </c>
      <c r="AG17" t="e">
        <f t="shared" si="6"/>
        <v>#N/A</v>
      </c>
      <c r="AH17" t="str">
        <f>IF(RIGHT(Inventory!Q23,7)="Chiller",Inventory!V23,"")</f>
        <v/>
      </c>
      <c r="AI17" t="str">
        <f>IF(RIGHT(Inventory!Q23,7)="Chiller",Inventory!X23,"")</f>
        <v/>
      </c>
      <c r="AJ17" t="str">
        <f>IF(M17="Early Retirement",Inventory!K23,"")</f>
        <v/>
      </c>
      <c r="AK17">
        <f>Inventory!AF23</f>
        <v>0</v>
      </c>
      <c r="AL17" t="str">
        <f>IF(AND(M17="Early Retirement",LEFT(Inventory!AC23,3)="EER"),12/Inventory!CJ23,"")</f>
        <v/>
      </c>
      <c r="AM17" t="str">
        <f>IF(LEFT(Inventory!AC23,3)="EER",12/Inventory!CG23,"")</f>
        <v/>
      </c>
      <c r="AN17" t="str">
        <f>IF(LEFT(Inventory!AC23,3)="EER",12/Inventory!CJ23,"")</f>
        <v/>
      </c>
      <c r="AO17" t="str">
        <f>IF(M17="Early Retirement",Inventory!BZ23,"")</f>
        <v/>
      </c>
      <c r="AP17" t="e">
        <f ca="1">Inventory!CG23</f>
        <v>#N/A</v>
      </c>
      <c r="AQ17" t="str">
        <f>Inventory!CJ23</f>
        <v/>
      </c>
      <c r="AR17" t="str">
        <f>IF(AND(M17="Early Retirement",OR(AND(LEFT(Inventory!AC23,3)="EER",Inventory!BN23&lt;=5.42),Inventory!Q23="Air Cooled Chiller")),12/Inventory!CA23,"")</f>
        <v/>
      </c>
      <c r="AS17" t="str">
        <f>IF(OR(AND(LEFT(Inventory!AC23,3)="EER",Inventory!BN23&lt;=5.42),Inventory!Q23="Air Cooled Chiller"),12/Inventory!CH23,"")</f>
        <v/>
      </c>
      <c r="AT17" t="str">
        <f>IF(OR(AND(LEFT(Inventory!AC23,3)="EER",Inventory!BN23&lt;=5.42),Inventory!Q23="Air Cooled Chiller"),12/Inventory!CK23,"")</f>
        <v/>
      </c>
      <c r="AU17" t="str">
        <f>IF(AND(M17="Early Retirement",RIGHT(Inventory!AC23,4)="IEER"),12/Inventory!CA23,"")</f>
        <v/>
      </c>
      <c r="AV17" t="str">
        <f>IF(RIGHT(Inventory!AC23,4)="IEER",12/Inventory!CH23,"")</f>
        <v/>
      </c>
      <c r="AW17" t="str">
        <f>IF(RIGHT(Inventory!AC23,4)="IEER",12/Inventory!CK23,"")</f>
        <v/>
      </c>
      <c r="AX17" t="str">
        <f>IF(M17="Early Retirement",Inventory!CA23,"")</f>
        <v/>
      </c>
      <c r="AY17" t="e">
        <f ca="1">Inventory!CH23</f>
        <v>#N/A</v>
      </c>
      <c r="AZ17" t="str">
        <f>Inventory!CK23</f>
        <v/>
      </c>
      <c r="BA17" t="str">
        <f>IF(AND(M17="Early Retirement",Inventory!BA23=1),12/3.412/Inventory!CB23,"")</f>
        <v/>
      </c>
      <c r="BB17" t="str">
        <f>IF(Inventory!BA23=1,12/3.412/Inventory!CI23,"")</f>
        <v/>
      </c>
      <c r="BC17" t="str">
        <f>IF(Inventory!BA23=1,12/3.412/Inventory!CL23,"")</f>
        <v/>
      </c>
      <c r="BD17" t="str">
        <f>IF(AND(M17="Early Retirement",Inventory!BA23=1,LEFT(Inventory!AE23,4)="HSPF"),12/Inventory!CB23,"")</f>
        <v/>
      </c>
      <c r="BE17" t="str">
        <f>IF(AND(Inventory!BA23=1,LEFT(Inventory!AE23,4)="HSPF"),12/Inventory!CI23,"")</f>
        <v/>
      </c>
      <c r="BF17" t="str">
        <f>IF(AND(Inventory!BA23=1,LEFT(Inventory!AE23,4)="HSPF"),12/Inventory!CL23,"")</f>
        <v/>
      </c>
      <c r="BG17" t="str">
        <f>IF(AND(M17="Early Retirement",RIGHT(Inventory!G23,7)&lt;&gt;"Chiller"),Inventory!H23*IF(Inventory!I23="Btuh",1,12000),"")</f>
        <v/>
      </c>
      <c r="BH17" t="str">
        <f>IF(M17="Early Retirement",Inventory!H23/IF(Inventory!I23="Btuh",12000,1),"")</f>
        <v/>
      </c>
      <c r="BI17">
        <f>IF(RIGHT(Inventory!Q23,7)="Chiller","",Inventory!BP23)</f>
        <v>0</v>
      </c>
      <c r="BJ17">
        <f>Inventory!BN23</f>
        <v>0</v>
      </c>
      <c r="BK17" t="str">
        <f>IF(AND(M17="Early Retirement",Inventory!BA23=1),Inventory!BQ23*12000,"")</f>
        <v/>
      </c>
      <c r="BL17" t="str">
        <f>IF(Inventory!BA23=1,Inventory!BQ23*12000,"")</f>
        <v/>
      </c>
      <c r="BM17" s="631" t="e">
        <f>Inventory!DH23</f>
        <v>#N/A</v>
      </c>
      <c r="BN17">
        <f>IF(ISNUMBER(Inventory!AN23),Inventory!AN23,0)</f>
        <v>0</v>
      </c>
      <c r="BO17">
        <f>IF(ISNUMBER(Inventory!AO23),Inventory!AO23,0)</f>
        <v>0</v>
      </c>
      <c r="BP17">
        <f>0</f>
        <v>0</v>
      </c>
      <c r="BQ17" s="631">
        <f>IF(ISNUMBER(Inventory!AP23),Inventory!AP23,0)</f>
        <v>0</v>
      </c>
      <c r="BR17" s="421">
        <f>Inventory!AQ23</f>
        <v>0</v>
      </c>
    </row>
    <row r="18" spans="1:70" x14ac:dyDescent="0.25">
      <c r="A18" s="622" t="s">
        <v>1128</v>
      </c>
      <c r="B18" s="611" t="s">
        <v>1248</v>
      </c>
      <c r="C18" s="611"/>
      <c r="D18" s="611"/>
      <c r="E18" s="611"/>
      <c r="F18" s="611"/>
      <c r="G18" s="611"/>
      <c r="I18">
        <f t="shared" si="0"/>
        <v>0</v>
      </c>
      <c r="J18">
        <f t="shared" si="1"/>
        <v>0</v>
      </c>
      <c r="K18" t="e">
        <f>INDEX('Equipment Lookups'!$L$54:$AQ$67,MATCH(Inventory!Q24,'Equipment Lookups'!$J$54:$J$67,0),MATCH('Utility Admin'!$F$2&amp;DSMTEnviro,'Equipment Lookups'!$L$52:$AQ$52,0))</f>
        <v>#N/A</v>
      </c>
      <c r="L18" t="e" cm="1">
        <f t="array" ref="L18">INDEX('Equipment Lookups'!$L$54:$AQ$67,MATCH(Inventory!Q24,'Equipment Lookups'!$J$54:$J$67,0),MATCH('Utility Admin'!$F$2&amp;DSMTEnviro,'Equipment Lookups'!$L$52:$AQ$52,0)+1)</f>
        <v>#N/A</v>
      </c>
      <c r="M18">
        <f>Inventory!B24</f>
        <v>0</v>
      </c>
      <c r="N18">
        <f>Inventory!C24</f>
        <v>0</v>
      </c>
      <c r="O18">
        <f>_xlfn.NUMBERVALUE(RIGHT('Project Info'!$D$9,1))</f>
        <v>0</v>
      </c>
      <c r="P18" s="631" t="str">
        <f ca="1">Inventory!BW24</f>
        <v>-</v>
      </c>
      <c r="Q18" s="631">
        <f ca="1">IF(ISNUMBER(Inventory!BX24),Inventory!BX24,0)</f>
        <v>0</v>
      </c>
      <c r="R18" s="629">
        <f>Inventory!BY24</f>
        <v>0</v>
      </c>
      <c r="S18" s="630" t="str">
        <f ca="1">Inventory!BV24</f>
        <v>-</v>
      </c>
      <c r="T18">
        <f>0</f>
        <v>0</v>
      </c>
      <c r="U18" t="str">
        <f>IF(Inventory!D24="","",Inventory!D24)</f>
        <v/>
      </c>
      <c r="V18" t="str">
        <f>IF(Inventory!E24="","",Inventory!E24)</f>
        <v/>
      </c>
      <c r="W18" t="str">
        <f>IF(M18="Early Retirement",Inventory!G24,"")</f>
        <v/>
      </c>
      <c r="X18" t="str">
        <f>IF(Inventory!BK24&gt;0,Inventory!BK24,"")</f>
        <v/>
      </c>
      <c r="Y18" s="631" t="str">
        <f>IF(M18="Early Retirement",Inventory!DF24,"")</f>
        <v/>
      </c>
      <c r="Z18">
        <f>Inventory!M24</f>
        <v>0</v>
      </c>
      <c r="AA18">
        <f>Inventory!N24</f>
        <v>0</v>
      </c>
      <c r="AB18">
        <f>Inventory!P24</f>
        <v>0</v>
      </c>
      <c r="AC18" t="e">
        <f>IF(AND(Inventory!BU24="DX",Inventory!V24&lt;&gt;""),Inventory!V24,"")</f>
        <v>#N/A</v>
      </c>
      <c r="AD18" t="e">
        <f>IF(Inventory!BU24="PTRoom",Inventory!V24,"")</f>
        <v>#N/A</v>
      </c>
      <c r="AE18" t="e">
        <f t="shared" si="3"/>
        <v>#N/A</v>
      </c>
      <c r="AF18" t="e">
        <f t="shared" si="5"/>
        <v>#N/A</v>
      </c>
      <c r="AG18" t="e">
        <f t="shared" si="6"/>
        <v>#N/A</v>
      </c>
      <c r="AH18" t="str">
        <f>IF(RIGHT(Inventory!Q24,7)="Chiller",Inventory!V24,"")</f>
        <v/>
      </c>
      <c r="AI18" t="str">
        <f>IF(RIGHT(Inventory!Q24,7)="Chiller",Inventory!X24,"")</f>
        <v/>
      </c>
      <c r="AJ18" t="str">
        <f>IF(M18="Early Retirement",Inventory!K24,"")</f>
        <v/>
      </c>
      <c r="AK18">
        <f>Inventory!AF24</f>
        <v>0</v>
      </c>
      <c r="AL18" t="str">
        <f>IF(AND(M18="Early Retirement",LEFT(Inventory!AC24,3)="EER"),12/Inventory!CJ24,"")</f>
        <v/>
      </c>
      <c r="AM18" t="str">
        <f>IF(LEFT(Inventory!AC24,3)="EER",12/Inventory!CG24,"")</f>
        <v/>
      </c>
      <c r="AN18" t="str">
        <f>IF(LEFT(Inventory!AC24,3)="EER",12/Inventory!CJ24,"")</f>
        <v/>
      </c>
      <c r="AO18" t="str">
        <f>IF(M18="Early Retirement",Inventory!BZ24,"")</f>
        <v/>
      </c>
      <c r="AP18" t="e">
        <f ca="1">Inventory!CG24</f>
        <v>#N/A</v>
      </c>
      <c r="AQ18" t="str">
        <f>Inventory!CJ24</f>
        <v/>
      </c>
      <c r="AR18" t="str">
        <f>IF(AND(M18="Early Retirement",OR(AND(LEFT(Inventory!AC24,3)="EER",Inventory!BN24&lt;=5.42),Inventory!Q24="Air Cooled Chiller")),12/Inventory!CA24,"")</f>
        <v/>
      </c>
      <c r="AS18" t="str">
        <f>IF(OR(AND(LEFT(Inventory!AC24,3)="EER",Inventory!BN24&lt;=5.42),Inventory!Q24="Air Cooled Chiller"),12/Inventory!CH24,"")</f>
        <v/>
      </c>
      <c r="AT18" t="str">
        <f>IF(OR(AND(LEFT(Inventory!AC24,3)="EER",Inventory!BN24&lt;=5.42),Inventory!Q24="Air Cooled Chiller"),12/Inventory!CK24,"")</f>
        <v/>
      </c>
      <c r="AU18" t="str">
        <f>IF(AND(M18="Early Retirement",RIGHT(Inventory!AC24,4)="IEER"),12/Inventory!CA24,"")</f>
        <v/>
      </c>
      <c r="AV18" t="str">
        <f>IF(RIGHT(Inventory!AC24,4)="IEER",12/Inventory!CH24,"")</f>
        <v/>
      </c>
      <c r="AW18" t="str">
        <f>IF(RIGHT(Inventory!AC24,4)="IEER",12/Inventory!CK24,"")</f>
        <v/>
      </c>
      <c r="AX18" t="str">
        <f>IF(M18="Early Retirement",Inventory!CA24,"")</f>
        <v/>
      </c>
      <c r="AY18" t="e">
        <f ca="1">Inventory!CH24</f>
        <v>#N/A</v>
      </c>
      <c r="AZ18" t="str">
        <f>Inventory!CK24</f>
        <v/>
      </c>
      <c r="BA18" t="str">
        <f>IF(AND(M18="Early Retirement",Inventory!BA24=1),12/3.412/Inventory!CB24,"")</f>
        <v/>
      </c>
      <c r="BB18" t="str">
        <f>IF(Inventory!BA24=1,12/3.412/Inventory!CI24,"")</f>
        <v/>
      </c>
      <c r="BC18" t="str">
        <f>IF(Inventory!BA24=1,12/3.412/Inventory!CL24,"")</f>
        <v/>
      </c>
      <c r="BD18" t="str">
        <f>IF(AND(M18="Early Retirement",Inventory!BA24=1,LEFT(Inventory!AE24,4)="HSPF"),12/Inventory!CB24,"")</f>
        <v/>
      </c>
      <c r="BE18" t="str">
        <f>IF(AND(Inventory!BA24=1,LEFT(Inventory!AE24,4)="HSPF"),12/Inventory!CI24,"")</f>
        <v/>
      </c>
      <c r="BF18" t="str">
        <f>IF(AND(Inventory!BA24=1,LEFT(Inventory!AE24,4)="HSPF"),12/Inventory!CL24,"")</f>
        <v/>
      </c>
      <c r="BG18" t="str">
        <f>IF(AND(M18="Early Retirement",RIGHT(Inventory!G24,7)&lt;&gt;"Chiller"),Inventory!H24*IF(Inventory!I24="Btuh",1,12000),"")</f>
        <v/>
      </c>
      <c r="BH18" t="str">
        <f>IF(M18="Early Retirement",Inventory!H24/IF(Inventory!I24="Btuh",12000,1),"")</f>
        <v/>
      </c>
      <c r="BI18">
        <f>IF(RIGHT(Inventory!Q24,7)="Chiller","",Inventory!BP24)</f>
        <v>0</v>
      </c>
      <c r="BJ18">
        <f>Inventory!BN24</f>
        <v>0</v>
      </c>
      <c r="BK18" t="str">
        <f>IF(AND(M18="Early Retirement",Inventory!BA24=1),Inventory!BQ24*12000,"")</f>
        <v/>
      </c>
      <c r="BL18" t="str">
        <f>IF(Inventory!BA24=1,Inventory!BQ24*12000,"")</f>
        <v/>
      </c>
      <c r="BM18" s="631" t="e">
        <f>Inventory!DH24</f>
        <v>#N/A</v>
      </c>
      <c r="BN18">
        <f>IF(ISNUMBER(Inventory!AN24),Inventory!AN24,0)</f>
        <v>0</v>
      </c>
      <c r="BO18">
        <f>IF(ISNUMBER(Inventory!AO24),Inventory!AO24,0)</f>
        <v>0</v>
      </c>
      <c r="BP18">
        <f>0</f>
        <v>0</v>
      </c>
      <c r="BQ18" s="631">
        <f>IF(ISNUMBER(Inventory!AP24),Inventory!AP24,0)</f>
        <v>0</v>
      </c>
      <c r="BR18" s="421">
        <f>Inventory!AQ24</f>
        <v>0</v>
      </c>
    </row>
    <row r="19" spans="1:70" x14ac:dyDescent="0.25">
      <c r="A19" s="622" t="s">
        <v>1136</v>
      </c>
      <c r="B19" s="611" t="s">
        <v>1249</v>
      </c>
      <c r="C19" s="623"/>
      <c r="D19" s="623"/>
      <c r="E19" s="623"/>
      <c r="F19" s="623"/>
      <c r="G19" s="611"/>
      <c r="I19">
        <f t="shared" si="0"/>
        <v>0</v>
      </c>
      <c r="J19">
        <f t="shared" si="1"/>
        <v>0</v>
      </c>
      <c r="K19" t="e">
        <f>INDEX('Equipment Lookups'!$L$54:$AQ$67,MATCH(Inventory!Q25,'Equipment Lookups'!$J$54:$J$67,0),MATCH('Utility Admin'!$F$2&amp;DSMTEnviro,'Equipment Lookups'!$L$52:$AQ$52,0))</f>
        <v>#N/A</v>
      </c>
      <c r="L19" t="e" cm="1">
        <f t="array" ref="L19">INDEX('Equipment Lookups'!$L$54:$AQ$67,MATCH(Inventory!Q25,'Equipment Lookups'!$J$54:$J$67,0),MATCH('Utility Admin'!$F$2&amp;DSMTEnviro,'Equipment Lookups'!$L$52:$AQ$52,0)+1)</f>
        <v>#N/A</v>
      </c>
      <c r="M19">
        <f>Inventory!B25</f>
        <v>0</v>
      </c>
      <c r="N19">
        <f>Inventory!C25</f>
        <v>0</v>
      </c>
      <c r="O19">
        <f>_xlfn.NUMBERVALUE(RIGHT('Project Info'!$D$9,1))</f>
        <v>0</v>
      </c>
      <c r="P19" s="631" t="str">
        <f ca="1">Inventory!BW25</f>
        <v>-</v>
      </c>
      <c r="Q19" s="631">
        <f ca="1">IF(ISNUMBER(Inventory!BX25),Inventory!BX25,0)</f>
        <v>0</v>
      </c>
      <c r="R19" s="629">
        <f>Inventory!BY25</f>
        <v>0</v>
      </c>
      <c r="S19" s="630" t="str">
        <f ca="1">Inventory!BV25</f>
        <v>-</v>
      </c>
      <c r="T19">
        <f>0</f>
        <v>0</v>
      </c>
      <c r="U19" t="str">
        <f>IF(Inventory!D25="","",Inventory!D25)</f>
        <v/>
      </c>
      <c r="V19" t="str">
        <f>IF(Inventory!E25="","",Inventory!E25)</f>
        <v/>
      </c>
      <c r="W19" t="str">
        <f>IF(M19="Early Retirement",Inventory!G25,"")</f>
        <v/>
      </c>
      <c r="X19" t="str">
        <f>IF(Inventory!BK25&gt;0,Inventory!BK25,"")</f>
        <v/>
      </c>
      <c r="Y19" s="631" t="str">
        <f>IF(M19="Early Retirement",Inventory!DF25,"")</f>
        <v/>
      </c>
      <c r="Z19">
        <f>Inventory!M25</f>
        <v>0</v>
      </c>
      <c r="AA19">
        <f>Inventory!N25</f>
        <v>0</v>
      </c>
      <c r="AB19">
        <f>Inventory!P25</f>
        <v>0</v>
      </c>
      <c r="AC19" t="e">
        <f>IF(AND(Inventory!BU25="DX",Inventory!V25&lt;&gt;""),Inventory!V25,"")</f>
        <v>#N/A</v>
      </c>
      <c r="AD19" t="e">
        <f>IF(Inventory!BU25="PTRoom",Inventory!V25,"")</f>
        <v>#N/A</v>
      </c>
      <c r="AE19" t="e">
        <f t="shared" si="3"/>
        <v>#N/A</v>
      </c>
      <c r="AF19" t="e">
        <f t="shared" si="5"/>
        <v>#N/A</v>
      </c>
      <c r="AG19" t="e">
        <f t="shared" si="6"/>
        <v>#N/A</v>
      </c>
      <c r="AH19" t="str">
        <f>IF(RIGHT(Inventory!Q25,7)="Chiller",Inventory!V25,"")</f>
        <v/>
      </c>
      <c r="AI19" t="str">
        <f>IF(RIGHT(Inventory!Q25,7)="Chiller",Inventory!X25,"")</f>
        <v/>
      </c>
      <c r="AJ19" t="str">
        <f>IF(M19="Early Retirement",Inventory!K25,"")</f>
        <v/>
      </c>
      <c r="AK19">
        <f>Inventory!AF25</f>
        <v>0</v>
      </c>
      <c r="AL19" t="str">
        <f>IF(AND(M19="Early Retirement",LEFT(Inventory!AC25,3)="EER"),12/Inventory!CJ25,"")</f>
        <v/>
      </c>
      <c r="AM19" t="str">
        <f>IF(LEFT(Inventory!AC25,3)="EER",12/Inventory!CG25,"")</f>
        <v/>
      </c>
      <c r="AN19" t="str">
        <f>IF(LEFT(Inventory!AC25,3)="EER",12/Inventory!CJ25,"")</f>
        <v/>
      </c>
      <c r="AO19" t="str">
        <f>IF(M19="Early Retirement",Inventory!BZ25,"")</f>
        <v/>
      </c>
      <c r="AP19" t="e">
        <f ca="1">Inventory!CG25</f>
        <v>#N/A</v>
      </c>
      <c r="AQ19" t="str">
        <f>Inventory!CJ25</f>
        <v/>
      </c>
      <c r="AR19" t="str">
        <f>IF(AND(M19="Early Retirement",OR(AND(LEFT(Inventory!AC25,3)="EER",Inventory!BN25&lt;=5.42),Inventory!Q25="Air Cooled Chiller")),12/Inventory!CA25,"")</f>
        <v/>
      </c>
      <c r="AS19" t="str">
        <f>IF(OR(AND(LEFT(Inventory!AC25,3)="EER",Inventory!BN25&lt;=5.42),Inventory!Q25="Air Cooled Chiller"),12/Inventory!CH25,"")</f>
        <v/>
      </c>
      <c r="AT19" t="str">
        <f>IF(OR(AND(LEFT(Inventory!AC25,3)="EER",Inventory!BN25&lt;=5.42),Inventory!Q25="Air Cooled Chiller"),12/Inventory!CK25,"")</f>
        <v/>
      </c>
      <c r="AU19" t="str">
        <f>IF(AND(M19="Early Retirement",RIGHT(Inventory!AC25,4)="IEER"),12/Inventory!CA25,"")</f>
        <v/>
      </c>
      <c r="AV19" t="str">
        <f>IF(RIGHT(Inventory!AC25,4)="IEER",12/Inventory!CH25,"")</f>
        <v/>
      </c>
      <c r="AW19" t="str">
        <f>IF(RIGHT(Inventory!AC25,4)="IEER",12/Inventory!CK25,"")</f>
        <v/>
      </c>
      <c r="AX19" t="str">
        <f>IF(M19="Early Retirement",Inventory!CA25,"")</f>
        <v/>
      </c>
      <c r="AY19" t="e">
        <f ca="1">Inventory!CH25</f>
        <v>#N/A</v>
      </c>
      <c r="AZ19" t="str">
        <f>Inventory!CK25</f>
        <v/>
      </c>
      <c r="BA19" t="str">
        <f>IF(AND(M19="Early Retirement",Inventory!BA25=1),12/3.412/Inventory!CB25,"")</f>
        <v/>
      </c>
      <c r="BB19" t="str">
        <f>IF(Inventory!BA25=1,12/3.412/Inventory!CI25,"")</f>
        <v/>
      </c>
      <c r="BC19" t="str">
        <f>IF(Inventory!BA25=1,12/3.412/Inventory!CL25,"")</f>
        <v/>
      </c>
      <c r="BD19" t="str">
        <f>IF(AND(M19="Early Retirement",Inventory!BA25=1,LEFT(Inventory!AE25,4)="HSPF"),12/Inventory!CB25,"")</f>
        <v/>
      </c>
      <c r="BE19" t="str">
        <f>IF(AND(Inventory!BA25=1,LEFT(Inventory!AE25,4)="HSPF"),12/Inventory!CI25,"")</f>
        <v/>
      </c>
      <c r="BF19" t="str">
        <f>IF(AND(Inventory!BA25=1,LEFT(Inventory!AE25,4)="HSPF"),12/Inventory!CL25,"")</f>
        <v/>
      </c>
      <c r="BG19" t="str">
        <f>IF(AND(M19="Early Retirement",RIGHT(Inventory!G25,7)&lt;&gt;"Chiller"),Inventory!H25*IF(Inventory!I25="Btuh",1,12000),"")</f>
        <v/>
      </c>
      <c r="BH19" t="str">
        <f>IF(M19="Early Retirement",Inventory!H25/IF(Inventory!I25="Btuh",12000,1),"")</f>
        <v/>
      </c>
      <c r="BI19">
        <f>IF(RIGHT(Inventory!Q25,7)="Chiller","",Inventory!BP25)</f>
        <v>0</v>
      </c>
      <c r="BJ19">
        <f>Inventory!BN25</f>
        <v>0</v>
      </c>
      <c r="BK19" t="str">
        <f>IF(AND(M19="Early Retirement",Inventory!BA25=1),Inventory!BQ25*12000,"")</f>
        <v/>
      </c>
      <c r="BL19" t="str">
        <f>IF(Inventory!BA25=1,Inventory!BQ25*12000,"")</f>
        <v/>
      </c>
      <c r="BM19" s="631" t="e">
        <f>Inventory!DH25</f>
        <v>#N/A</v>
      </c>
      <c r="BN19">
        <f>IF(ISNUMBER(Inventory!AN25),Inventory!AN25,0)</f>
        <v>0</v>
      </c>
      <c r="BO19">
        <f>IF(ISNUMBER(Inventory!AO25),Inventory!AO25,0)</f>
        <v>0</v>
      </c>
      <c r="BP19">
        <f>0</f>
        <v>0</v>
      </c>
      <c r="BQ19" s="631">
        <f>IF(ISNUMBER(Inventory!AP25),Inventory!AP25,0)</f>
        <v>0</v>
      </c>
      <c r="BR19" s="421">
        <f>Inventory!AQ25</f>
        <v>0</v>
      </c>
    </row>
    <row r="20" spans="1:70" x14ac:dyDescent="0.25">
      <c r="A20" s="622" t="s">
        <v>1137</v>
      </c>
      <c r="B20" s="611" t="s">
        <v>1250</v>
      </c>
      <c r="C20" s="611"/>
      <c r="D20" s="611"/>
      <c r="E20" s="611"/>
      <c r="F20" s="611"/>
      <c r="G20" s="611"/>
      <c r="I20">
        <f t="shared" si="0"/>
        <v>0</v>
      </c>
      <c r="J20">
        <f t="shared" si="1"/>
        <v>0</v>
      </c>
      <c r="K20" t="e">
        <f>INDEX('Equipment Lookups'!$L$54:$AQ$67,MATCH(Inventory!Q26,'Equipment Lookups'!$J$54:$J$67,0),MATCH('Utility Admin'!$F$2&amp;DSMTEnviro,'Equipment Lookups'!$L$52:$AQ$52,0))</f>
        <v>#N/A</v>
      </c>
      <c r="L20" t="e" cm="1">
        <f t="array" ref="L20">INDEX('Equipment Lookups'!$L$54:$AQ$67,MATCH(Inventory!Q26,'Equipment Lookups'!$J$54:$J$67,0),MATCH('Utility Admin'!$F$2&amp;DSMTEnviro,'Equipment Lookups'!$L$52:$AQ$52,0)+1)</f>
        <v>#N/A</v>
      </c>
      <c r="M20">
        <f>Inventory!B26</f>
        <v>0</v>
      </c>
      <c r="N20">
        <f>Inventory!C26</f>
        <v>0</v>
      </c>
      <c r="O20">
        <f>_xlfn.NUMBERVALUE(RIGHT('Project Info'!$D$9,1))</f>
        <v>0</v>
      </c>
      <c r="P20" s="631" t="str">
        <f ca="1">Inventory!BW26</f>
        <v>-</v>
      </c>
      <c r="Q20" s="631">
        <f ca="1">IF(ISNUMBER(Inventory!BX26),Inventory!BX26,0)</f>
        <v>0</v>
      </c>
      <c r="R20" s="629">
        <f>Inventory!BY26</f>
        <v>0</v>
      </c>
      <c r="S20" s="630" t="str">
        <f ca="1">Inventory!BV26</f>
        <v>-</v>
      </c>
      <c r="T20">
        <f>0</f>
        <v>0</v>
      </c>
      <c r="U20" t="str">
        <f>IF(Inventory!D26="","",Inventory!D26)</f>
        <v/>
      </c>
      <c r="V20" t="str">
        <f>IF(Inventory!E26="","",Inventory!E26)</f>
        <v/>
      </c>
      <c r="W20" t="str">
        <f>IF(M20="Early Retirement",Inventory!G26,"")</f>
        <v/>
      </c>
      <c r="X20" t="str">
        <f>IF(Inventory!BK26&gt;0,Inventory!BK26,"")</f>
        <v/>
      </c>
      <c r="Y20" s="631" t="str">
        <f>IF(M20="Early Retirement",Inventory!DF26,"")</f>
        <v/>
      </c>
      <c r="Z20">
        <f>Inventory!M26</f>
        <v>0</v>
      </c>
      <c r="AA20">
        <f>Inventory!N26</f>
        <v>0</v>
      </c>
      <c r="AB20">
        <f>Inventory!P26</f>
        <v>0</v>
      </c>
      <c r="AC20" t="e">
        <f>IF(AND(Inventory!BU26="DX",Inventory!V26&lt;&gt;""),Inventory!V26,"")</f>
        <v>#N/A</v>
      </c>
      <c r="AD20" t="e">
        <f>IF(Inventory!BU26="PTRoom",Inventory!V26,"")</f>
        <v>#N/A</v>
      </c>
      <c r="AE20" t="e">
        <f t="shared" si="3"/>
        <v>#N/A</v>
      </c>
      <c r="AF20" t="e">
        <f t="shared" si="5"/>
        <v>#N/A</v>
      </c>
      <c r="AG20" t="e">
        <f t="shared" si="6"/>
        <v>#N/A</v>
      </c>
      <c r="AH20" t="str">
        <f>IF(RIGHT(Inventory!Q26,7)="Chiller",Inventory!V26,"")</f>
        <v/>
      </c>
      <c r="AI20" t="str">
        <f>IF(RIGHT(Inventory!Q26,7)="Chiller",Inventory!X26,"")</f>
        <v/>
      </c>
      <c r="AJ20" t="str">
        <f>IF(M20="Early Retirement",Inventory!K26,"")</f>
        <v/>
      </c>
      <c r="AK20">
        <f>Inventory!AF26</f>
        <v>0</v>
      </c>
      <c r="AL20" t="str">
        <f>IF(AND(M20="Early Retirement",LEFT(Inventory!AC26,3)="EER"),12/Inventory!CJ26,"")</f>
        <v/>
      </c>
      <c r="AM20" t="str">
        <f>IF(LEFT(Inventory!AC26,3)="EER",12/Inventory!CG26,"")</f>
        <v/>
      </c>
      <c r="AN20" t="str">
        <f>IF(LEFT(Inventory!AC26,3)="EER",12/Inventory!CJ26,"")</f>
        <v/>
      </c>
      <c r="AO20" t="str">
        <f>IF(M20="Early Retirement",Inventory!BZ26,"")</f>
        <v/>
      </c>
      <c r="AP20" t="e">
        <f ca="1">Inventory!CG26</f>
        <v>#N/A</v>
      </c>
      <c r="AQ20" t="str">
        <f>Inventory!CJ26</f>
        <v/>
      </c>
      <c r="AR20" t="str">
        <f>IF(AND(M20="Early Retirement",OR(AND(LEFT(Inventory!AC26,3)="EER",Inventory!BN26&lt;=5.42),Inventory!Q26="Air Cooled Chiller")),12/Inventory!CA26,"")</f>
        <v/>
      </c>
      <c r="AS20" t="str">
        <f>IF(OR(AND(LEFT(Inventory!AC26,3)="EER",Inventory!BN26&lt;=5.42),Inventory!Q26="Air Cooled Chiller"),12/Inventory!CH26,"")</f>
        <v/>
      </c>
      <c r="AT20" t="str">
        <f>IF(OR(AND(LEFT(Inventory!AC26,3)="EER",Inventory!BN26&lt;=5.42),Inventory!Q26="Air Cooled Chiller"),12/Inventory!CK26,"")</f>
        <v/>
      </c>
      <c r="AU20" t="str">
        <f>IF(AND(M20="Early Retirement",RIGHT(Inventory!AC26,4)="IEER"),12/Inventory!CA26,"")</f>
        <v/>
      </c>
      <c r="AV20" t="str">
        <f>IF(RIGHT(Inventory!AC26,4)="IEER",12/Inventory!CH26,"")</f>
        <v/>
      </c>
      <c r="AW20" t="str">
        <f>IF(RIGHT(Inventory!AC26,4)="IEER",12/Inventory!CK26,"")</f>
        <v/>
      </c>
      <c r="AX20" t="str">
        <f>IF(M20="Early Retirement",Inventory!CA26,"")</f>
        <v/>
      </c>
      <c r="AY20" t="e">
        <f ca="1">Inventory!CH26</f>
        <v>#N/A</v>
      </c>
      <c r="AZ20" t="str">
        <f>Inventory!CK26</f>
        <v/>
      </c>
      <c r="BA20" t="str">
        <f>IF(AND(M20="Early Retirement",Inventory!BA26=1),12/3.412/Inventory!CB26,"")</f>
        <v/>
      </c>
      <c r="BB20" t="str">
        <f>IF(Inventory!BA26=1,12/3.412/Inventory!CI26,"")</f>
        <v/>
      </c>
      <c r="BC20" t="str">
        <f>IF(Inventory!BA26=1,12/3.412/Inventory!CL26,"")</f>
        <v/>
      </c>
      <c r="BD20" t="str">
        <f>IF(AND(M20="Early Retirement",Inventory!BA26=1,LEFT(Inventory!AE26,4)="HSPF"),12/Inventory!CB26,"")</f>
        <v/>
      </c>
      <c r="BE20" t="str">
        <f>IF(AND(Inventory!BA26=1,LEFT(Inventory!AE26,4)="HSPF"),12/Inventory!CI26,"")</f>
        <v/>
      </c>
      <c r="BF20" t="str">
        <f>IF(AND(Inventory!BA26=1,LEFT(Inventory!AE26,4)="HSPF"),12/Inventory!CL26,"")</f>
        <v/>
      </c>
      <c r="BG20" t="str">
        <f>IF(AND(M20="Early Retirement",RIGHT(Inventory!G26,7)&lt;&gt;"Chiller"),Inventory!H26*IF(Inventory!I26="Btuh",1,12000),"")</f>
        <v/>
      </c>
      <c r="BH20" t="str">
        <f>IF(M20="Early Retirement",Inventory!H26/IF(Inventory!I26="Btuh",12000,1),"")</f>
        <v/>
      </c>
      <c r="BI20">
        <f>IF(RIGHT(Inventory!Q26,7)="Chiller","",Inventory!BP26)</f>
        <v>0</v>
      </c>
      <c r="BJ20">
        <f>Inventory!BN26</f>
        <v>0</v>
      </c>
      <c r="BK20" t="str">
        <f>IF(AND(M20="Early Retirement",Inventory!BA26=1),Inventory!BQ26*12000,"")</f>
        <v/>
      </c>
      <c r="BL20" t="str">
        <f>IF(Inventory!BA26=1,Inventory!BQ26*12000,"")</f>
        <v/>
      </c>
      <c r="BM20" s="631" t="e">
        <f>Inventory!DH26</f>
        <v>#N/A</v>
      </c>
      <c r="BN20">
        <f>IF(ISNUMBER(Inventory!AN26),Inventory!AN26,0)</f>
        <v>0</v>
      </c>
      <c r="BO20">
        <f>IF(ISNUMBER(Inventory!AO26),Inventory!AO26,0)</f>
        <v>0</v>
      </c>
      <c r="BP20">
        <f>0</f>
        <v>0</v>
      </c>
      <c r="BQ20" s="631">
        <f>IF(ISNUMBER(Inventory!AP26),Inventory!AP26,0)</f>
        <v>0</v>
      </c>
      <c r="BR20" s="421">
        <f>Inventory!AQ26</f>
        <v>0</v>
      </c>
    </row>
    <row r="21" spans="1:70" x14ac:dyDescent="0.25">
      <c r="A21" s="622" t="s">
        <v>1143</v>
      </c>
      <c r="B21" s="611" t="s">
        <v>1251</v>
      </c>
      <c r="C21" s="611"/>
      <c r="D21" s="611"/>
      <c r="E21" s="611"/>
      <c r="F21" s="611"/>
      <c r="G21" s="611"/>
      <c r="I21">
        <f t="shared" si="0"/>
        <v>0</v>
      </c>
      <c r="J21">
        <f t="shared" si="1"/>
        <v>0</v>
      </c>
      <c r="K21" t="e">
        <f>INDEX('Equipment Lookups'!$L$54:$AQ$67,MATCH(Inventory!Q27,'Equipment Lookups'!$J$54:$J$67,0),MATCH('Utility Admin'!$F$2&amp;DSMTEnviro,'Equipment Lookups'!$L$52:$AQ$52,0))</f>
        <v>#N/A</v>
      </c>
      <c r="L21" t="e" cm="1">
        <f t="array" ref="L21">INDEX('Equipment Lookups'!$L$54:$AQ$67,MATCH(Inventory!Q27,'Equipment Lookups'!$J$54:$J$67,0),MATCH('Utility Admin'!$F$2&amp;DSMTEnviro,'Equipment Lookups'!$L$52:$AQ$52,0)+1)</f>
        <v>#N/A</v>
      </c>
      <c r="M21">
        <f>Inventory!B27</f>
        <v>0</v>
      </c>
      <c r="N21">
        <f>Inventory!C27</f>
        <v>0</v>
      </c>
      <c r="O21">
        <f>_xlfn.NUMBERVALUE(RIGHT('Project Info'!$D$9,1))</f>
        <v>0</v>
      </c>
      <c r="P21" s="631" t="str">
        <f ca="1">Inventory!BW27</f>
        <v>-</v>
      </c>
      <c r="Q21" s="631">
        <f ca="1">IF(ISNUMBER(Inventory!BX27),Inventory!BX27,0)</f>
        <v>0</v>
      </c>
      <c r="R21" s="629">
        <f>Inventory!BY27</f>
        <v>0</v>
      </c>
      <c r="S21" s="630" t="str">
        <f ca="1">Inventory!BV27</f>
        <v>-</v>
      </c>
      <c r="T21">
        <f>0</f>
        <v>0</v>
      </c>
      <c r="U21" t="str">
        <f>IF(Inventory!D27="","",Inventory!D27)</f>
        <v/>
      </c>
      <c r="V21" t="str">
        <f>IF(Inventory!E27="","",Inventory!E27)</f>
        <v/>
      </c>
      <c r="W21" t="str">
        <f>IF(M21="Early Retirement",Inventory!G27,"")</f>
        <v/>
      </c>
      <c r="X21" t="str">
        <f>IF(Inventory!BK27&gt;0,Inventory!BK27,"")</f>
        <v/>
      </c>
      <c r="Y21" s="631" t="str">
        <f>IF(M21="Early Retirement",Inventory!DF27,"")</f>
        <v/>
      </c>
      <c r="Z21">
        <f>Inventory!M27</f>
        <v>0</v>
      </c>
      <c r="AA21">
        <f>Inventory!N27</f>
        <v>0</v>
      </c>
      <c r="AB21">
        <f>Inventory!P27</f>
        <v>0</v>
      </c>
      <c r="AC21" t="e">
        <f>IF(AND(Inventory!BU27="DX",Inventory!V27&lt;&gt;""),Inventory!V27,"")</f>
        <v>#N/A</v>
      </c>
      <c r="AD21" t="e">
        <f>IF(Inventory!BU27="PTRoom",Inventory!V27,"")</f>
        <v>#N/A</v>
      </c>
      <c r="AE21" t="e">
        <f t="shared" si="3"/>
        <v>#N/A</v>
      </c>
      <c r="AF21" t="e">
        <f t="shared" si="5"/>
        <v>#N/A</v>
      </c>
      <c r="AG21" t="e">
        <f t="shared" si="6"/>
        <v>#N/A</v>
      </c>
      <c r="AH21" t="str">
        <f>IF(RIGHT(Inventory!Q27,7)="Chiller",Inventory!V27,"")</f>
        <v/>
      </c>
      <c r="AI21" t="str">
        <f>IF(RIGHT(Inventory!Q27,7)="Chiller",Inventory!X27,"")</f>
        <v/>
      </c>
      <c r="AJ21" t="str">
        <f>IF(M21="Early Retirement",Inventory!K27,"")</f>
        <v/>
      </c>
      <c r="AK21">
        <f>Inventory!AF27</f>
        <v>0</v>
      </c>
      <c r="AL21" t="str">
        <f>IF(AND(M21="Early Retirement",LEFT(Inventory!AC27,3)="EER"),12/Inventory!CJ27,"")</f>
        <v/>
      </c>
      <c r="AM21" t="str">
        <f>IF(LEFT(Inventory!AC27,3)="EER",12/Inventory!CG27,"")</f>
        <v/>
      </c>
      <c r="AN21" t="str">
        <f>IF(LEFT(Inventory!AC27,3)="EER",12/Inventory!CJ27,"")</f>
        <v/>
      </c>
      <c r="AO21" t="str">
        <f>IF(M21="Early Retirement",Inventory!BZ27,"")</f>
        <v/>
      </c>
      <c r="AP21" t="e">
        <f ca="1">Inventory!CG27</f>
        <v>#N/A</v>
      </c>
      <c r="AQ21" t="str">
        <f>Inventory!CJ27</f>
        <v/>
      </c>
      <c r="AR21" t="str">
        <f>IF(AND(M21="Early Retirement",OR(AND(LEFT(Inventory!AC27,3)="EER",Inventory!BN27&lt;=5.42),Inventory!Q27="Air Cooled Chiller")),12/Inventory!CA27,"")</f>
        <v/>
      </c>
      <c r="AS21" t="str">
        <f>IF(OR(AND(LEFT(Inventory!AC27,3)="EER",Inventory!BN27&lt;=5.42),Inventory!Q27="Air Cooled Chiller"),12/Inventory!CH27,"")</f>
        <v/>
      </c>
      <c r="AT21" t="str">
        <f>IF(OR(AND(LEFT(Inventory!AC27,3)="EER",Inventory!BN27&lt;=5.42),Inventory!Q27="Air Cooled Chiller"),12/Inventory!CK27,"")</f>
        <v/>
      </c>
      <c r="AU21" t="str">
        <f>IF(AND(M21="Early Retirement",RIGHT(Inventory!AC27,4)="IEER"),12/Inventory!CA27,"")</f>
        <v/>
      </c>
      <c r="AV21" t="str">
        <f>IF(RIGHT(Inventory!AC27,4)="IEER",12/Inventory!CH27,"")</f>
        <v/>
      </c>
      <c r="AW21" t="str">
        <f>IF(RIGHT(Inventory!AC27,4)="IEER",12/Inventory!CK27,"")</f>
        <v/>
      </c>
      <c r="AX21" t="str">
        <f>IF(M21="Early Retirement",Inventory!CA27,"")</f>
        <v/>
      </c>
      <c r="AY21" t="e">
        <f ca="1">Inventory!CH27</f>
        <v>#N/A</v>
      </c>
      <c r="AZ21" t="str">
        <f>Inventory!CK27</f>
        <v/>
      </c>
      <c r="BA21" t="str">
        <f>IF(AND(M21="Early Retirement",Inventory!BA27=1),12/3.412/Inventory!CB27,"")</f>
        <v/>
      </c>
      <c r="BB21" t="str">
        <f>IF(Inventory!BA27=1,12/3.412/Inventory!CI27,"")</f>
        <v/>
      </c>
      <c r="BC21" t="str">
        <f>IF(Inventory!BA27=1,12/3.412/Inventory!CL27,"")</f>
        <v/>
      </c>
      <c r="BD21" t="str">
        <f>IF(AND(M21="Early Retirement",Inventory!BA27=1,LEFT(Inventory!AE27,4)="HSPF"),12/Inventory!CB27,"")</f>
        <v/>
      </c>
      <c r="BE21" t="str">
        <f>IF(AND(Inventory!BA27=1,LEFT(Inventory!AE27,4)="HSPF"),12/Inventory!CI27,"")</f>
        <v/>
      </c>
      <c r="BF21" t="str">
        <f>IF(AND(Inventory!BA27=1,LEFT(Inventory!AE27,4)="HSPF"),12/Inventory!CL27,"")</f>
        <v/>
      </c>
      <c r="BG21" t="str">
        <f>IF(AND(M21="Early Retirement",RIGHT(Inventory!G27,7)&lt;&gt;"Chiller"),Inventory!H27*IF(Inventory!I27="Btuh",1,12000),"")</f>
        <v/>
      </c>
      <c r="BH21" t="str">
        <f>IF(M21="Early Retirement",Inventory!H27/IF(Inventory!I27="Btuh",12000,1),"")</f>
        <v/>
      </c>
      <c r="BI21">
        <f>IF(RIGHT(Inventory!Q27,7)="Chiller","",Inventory!BP27)</f>
        <v>0</v>
      </c>
      <c r="BJ21">
        <f>Inventory!BN27</f>
        <v>0</v>
      </c>
      <c r="BK21" t="str">
        <f>IF(AND(M21="Early Retirement",Inventory!BA27=1),Inventory!BQ27*12000,"")</f>
        <v/>
      </c>
      <c r="BL21" t="str">
        <f>IF(Inventory!BA27=1,Inventory!BQ27*12000,"")</f>
        <v/>
      </c>
      <c r="BM21" s="631" t="e">
        <f>Inventory!DH27</f>
        <v>#N/A</v>
      </c>
      <c r="BN21">
        <f>IF(ISNUMBER(Inventory!AN27),Inventory!AN27,0)</f>
        <v>0</v>
      </c>
      <c r="BO21">
        <f>IF(ISNUMBER(Inventory!AO27),Inventory!AO27,0)</f>
        <v>0</v>
      </c>
      <c r="BP21">
        <f>0</f>
        <v>0</v>
      </c>
      <c r="BQ21" s="631">
        <f>IF(ISNUMBER(Inventory!AP27),Inventory!AP27,0)</f>
        <v>0</v>
      </c>
      <c r="BR21" s="421">
        <f>Inventory!AQ27</f>
        <v>0</v>
      </c>
    </row>
    <row r="22" spans="1:70" ht="15" customHeight="1" x14ac:dyDescent="0.25">
      <c r="A22" s="622" t="s">
        <v>1252</v>
      </c>
      <c r="B22" s="933" t="s">
        <v>1253</v>
      </c>
      <c r="C22" s="933"/>
      <c r="D22" s="933"/>
      <c r="E22" s="933"/>
      <c r="F22" s="933"/>
      <c r="G22" s="611"/>
      <c r="I22">
        <f t="shared" si="0"/>
        <v>0</v>
      </c>
      <c r="J22">
        <f t="shared" si="1"/>
        <v>0</v>
      </c>
      <c r="K22" t="e">
        <f>INDEX('Equipment Lookups'!$L$54:$AQ$67,MATCH(Inventory!Q28,'Equipment Lookups'!$J$54:$J$67,0),MATCH('Utility Admin'!$F$2&amp;DSMTEnviro,'Equipment Lookups'!$L$52:$AQ$52,0))</f>
        <v>#N/A</v>
      </c>
      <c r="L22" t="e" cm="1">
        <f t="array" ref="L22">INDEX('Equipment Lookups'!$L$54:$AQ$67,MATCH(Inventory!Q28,'Equipment Lookups'!$J$54:$J$67,0),MATCH('Utility Admin'!$F$2&amp;DSMTEnviro,'Equipment Lookups'!$L$52:$AQ$52,0)+1)</f>
        <v>#N/A</v>
      </c>
      <c r="M22">
        <f>Inventory!B28</f>
        <v>0</v>
      </c>
      <c r="N22">
        <f>Inventory!C28</f>
        <v>0</v>
      </c>
      <c r="O22">
        <f>_xlfn.NUMBERVALUE(RIGHT('Project Info'!$D$9,1))</f>
        <v>0</v>
      </c>
      <c r="P22" s="631" t="str">
        <f ca="1">Inventory!BW28</f>
        <v>-</v>
      </c>
      <c r="Q22" s="631">
        <f ca="1">IF(ISNUMBER(Inventory!BX28),Inventory!BX28,0)</f>
        <v>0</v>
      </c>
      <c r="R22" s="629">
        <f>Inventory!BY28</f>
        <v>0</v>
      </c>
      <c r="S22" s="630" t="str">
        <f ca="1">Inventory!BV28</f>
        <v>-</v>
      </c>
      <c r="T22">
        <f>0</f>
        <v>0</v>
      </c>
      <c r="U22" t="str">
        <f>IF(Inventory!D28="","",Inventory!D28)</f>
        <v/>
      </c>
      <c r="V22" t="str">
        <f>IF(Inventory!E28="","",Inventory!E28)</f>
        <v/>
      </c>
      <c r="W22" t="str">
        <f>IF(M22="Early Retirement",Inventory!G28,"")</f>
        <v/>
      </c>
      <c r="X22" t="str">
        <f>IF(Inventory!BK28&gt;0,Inventory!BK28,"")</f>
        <v/>
      </c>
      <c r="Y22" s="631" t="str">
        <f>IF(M22="Early Retirement",Inventory!DF28,"")</f>
        <v/>
      </c>
      <c r="Z22">
        <f>Inventory!M28</f>
        <v>0</v>
      </c>
      <c r="AA22">
        <f>Inventory!N28</f>
        <v>0</v>
      </c>
      <c r="AB22">
        <f>Inventory!P28</f>
        <v>0</v>
      </c>
      <c r="AC22" t="e">
        <f>IF(AND(Inventory!BU28="DX",Inventory!V28&lt;&gt;""),Inventory!V28,"")</f>
        <v>#N/A</v>
      </c>
      <c r="AD22" t="e">
        <f>IF(Inventory!BU28="PTRoom",Inventory!V28,"")</f>
        <v>#N/A</v>
      </c>
      <c r="AE22" t="e">
        <f t="shared" si="3"/>
        <v>#N/A</v>
      </c>
      <c r="AF22" t="e">
        <f t="shared" si="5"/>
        <v>#N/A</v>
      </c>
      <c r="AG22" t="e">
        <f t="shared" si="6"/>
        <v>#N/A</v>
      </c>
      <c r="AH22" t="str">
        <f>IF(RIGHT(Inventory!Q28,7)="Chiller",Inventory!V28,"")</f>
        <v/>
      </c>
      <c r="AI22" t="str">
        <f>IF(RIGHT(Inventory!Q28,7)="Chiller",Inventory!X28,"")</f>
        <v/>
      </c>
      <c r="AJ22" t="str">
        <f>IF(M22="Early Retirement",Inventory!K28,"")</f>
        <v/>
      </c>
      <c r="AK22">
        <f>Inventory!AF28</f>
        <v>0</v>
      </c>
      <c r="AL22" t="str">
        <f>IF(AND(M22="Early Retirement",LEFT(Inventory!AC28,3)="EER"),12/Inventory!CJ28,"")</f>
        <v/>
      </c>
      <c r="AM22" t="str">
        <f>IF(LEFT(Inventory!AC28,3)="EER",12/Inventory!CG28,"")</f>
        <v/>
      </c>
      <c r="AN22" t="str">
        <f>IF(LEFT(Inventory!AC28,3)="EER",12/Inventory!CJ28,"")</f>
        <v/>
      </c>
      <c r="AO22" t="str">
        <f>IF(M22="Early Retirement",Inventory!BZ28,"")</f>
        <v/>
      </c>
      <c r="AP22" t="e">
        <f ca="1">Inventory!CG28</f>
        <v>#N/A</v>
      </c>
      <c r="AQ22" t="str">
        <f>Inventory!CJ28</f>
        <v/>
      </c>
      <c r="AR22" t="str">
        <f>IF(AND(M22="Early Retirement",OR(AND(LEFT(Inventory!AC28,3)="EER",Inventory!BN28&lt;=5.42),Inventory!Q28="Air Cooled Chiller")),12/Inventory!CA28,"")</f>
        <v/>
      </c>
      <c r="AS22" t="str">
        <f>IF(OR(AND(LEFT(Inventory!AC28,3)="EER",Inventory!BN28&lt;=5.42),Inventory!Q28="Air Cooled Chiller"),12/Inventory!CH28,"")</f>
        <v/>
      </c>
      <c r="AT22" t="str">
        <f>IF(OR(AND(LEFT(Inventory!AC28,3)="EER",Inventory!BN28&lt;=5.42),Inventory!Q28="Air Cooled Chiller"),12/Inventory!CK28,"")</f>
        <v/>
      </c>
      <c r="AU22" t="str">
        <f>IF(AND(M22="Early Retirement",RIGHT(Inventory!AC28,4)="IEER"),12/Inventory!CA28,"")</f>
        <v/>
      </c>
      <c r="AV22" t="str">
        <f>IF(RIGHT(Inventory!AC28,4)="IEER",12/Inventory!CH28,"")</f>
        <v/>
      </c>
      <c r="AW22" t="str">
        <f>IF(RIGHT(Inventory!AC28,4)="IEER",12/Inventory!CK28,"")</f>
        <v/>
      </c>
      <c r="AX22" t="str">
        <f>IF(M22="Early Retirement",Inventory!CA28,"")</f>
        <v/>
      </c>
      <c r="AY22" t="e">
        <f ca="1">Inventory!CH28</f>
        <v>#N/A</v>
      </c>
      <c r="AZ22" t="str">
        <f>Inventory!CK28</f>
        <v/>
      </c>
      <c r="BA22" t="str">
        <f>IF(AND(M22="Early Retirement",Inventory!BA28=1),12/3.412/Inventory!CB28,"")</f>
        <v/>
      </c>
      <c r="BB22" t="str">
        <f>IF(Inventory!BA28=1,12/3.412/Inventory!CI28,"")</f>
        <v/>
      </c>
      <c r="BC22" t="str">
        <f>IF(Inventory!BA28=1,12/3.412/Inventory!CL28,"")</f>
        <v/>
      </c>
      <c r="BD22" t="str">
        <f>IF(AND(M22="Early Retirement",Inventory!BA28=1,LEFT(Inventory!AE28,4)="HSPF"),12/Inventory!CB28,"")</f>
        <v/>
      </c>
      <c r="BE22" t="str">
        <f>IF(AND(Inventory!BA28=1,LEFT(Inventory!AE28,4)="HSPF"),12/Inventory!CI28,"")</f>
        <v/>
      </c>
      <c r="BF22" t="str">
        <f>IF(AND(Inventory!BA28=1,LEFT(Inventory!AE28,4)="HSPF"),12/Inventory!CL28,"")</f>
        <v/>
      </c>
      <c r="BG22" t="str">
        <f>IF(AND(M22="Early Retirement",RIGHT(Inventory!G28,7)&lt;&gt;"Chiller"),Inventory!H28*IF(Inventory!I28="Btuh",1,12000),"")</f>
        <v/>
      </c>
      <c r="BH22" t="str">
        <f>IF(M22="Early Retirement",Inventory!H28/IF(Inventory!I28="Btuh",12000,1),"")</f>
        <v/>
      </c>
      <c r="BI22">
        <f>IF(RIGHT(Inventory!Q28,7)="Chiller","",Inventory!BP28)</f>
        <v>0</v>
      </c>
      <c r="BJ22">
        <f>Inventory!BN28</f>
        <v>0</v>
      </c>
      <c r="BK22" t="str">
        <f>IF(AND(M22="Early Retirement",Inventory!BA28=1),Inventory!BQ28*12000,"")</f>
        <v/>
      </c>
      <c r="BL22" t="str">
        <f>IF(Inventory!BA28=1,Inventory!BQ28*12000,"")</f>
        <v/>
      </c>
      <c r="BM22" s="631" t="e">
        <f>Inventory!DH28</f>
        <v>#N/A</v>
      </c>
      <c r="BN22">
        <f>IF(ISNUMBER(Inventory!AN28),Inventory!AN28,0)</f>
        <v>0</v>
      </c>
      <c r="BO22">
        <f>IF(ISNUMBER(Inventory!AO28),Inventory!AO28,0)</f>
        <v>0</v>
      </c>
      <c r="BP22">
        <f>0</f>
        <v>0</v>
      </c>
      <c r="BQ22" s="631">
        <f>IF(ISNUMBER(Inventory!AP28),Inventory!AP28,0)</f>
        <v>0</v>
      </c>
      <c r="BR22" s="421">
        <f>Inventory!AQ28</f>
        <v>0</v>
      </c>
    </row>
    <row r="23" spans="1:70" x14ac:dyDescent="0.25">
      <c r="A23" s="622"/>
      <c r="B23" s="933"/>
      <c r="C23" s="933"/>
      <c r="D23" s="933"/>
      <c r="E23" s="933"/>
      <c r="F23" s="933"/>
      <c r="G23" s="611"/>
      <c r="I23">
        <f t="shared" si="0"/>
        <v>0</v>
      </c>
      <c r="J23">
        <f t="shared" si="1"/>
        <v>0</v>
      </c>
      <c r="K23" t="e">
        <f>INDEX('Equipment Lookups'!$L$54:$AQ$67,MATCH(Inventory!Q29,'Equipment Lookups'!$J$54:$J$67,0),MATCH('Utility Admin'!$F$2&amp;DSMTEnviro,'Equipment Lookups'!$L$52:$AQ$52,0))</f>
        <v>#N/A</v>
      </c>
      <c r="L23" t="e" cm="1">
        <f t="array" ref="L23">INDEX('Equipment Lookups'!$L$54:$AQ$67,MATCH(Inventory!Q29,'Equipment Lookups'!$J$54:$J$67,0),MATCH('Utility Admin'!$F$2&amp;DSMTEnviro,'Equipment Lookups'!$L$52:$AQ$52,0)+1)</f>
        <v>#N/A</v>
      </c>
      <c r="M23">
        <f>Inventory!B29</f>
        <v>0</v>
      </c>
      <c r="N23">
        <f>Inventory!C29</f>
        <v>0</v>
      </c>
      <c r="O23">
        <f>_xlfn.NUMBERVALUE(RIGHT('Project Info'!$D$9,1))</f>
        <v>0</v>
      </c>
      <c r="P23" s="631" t="str">
        <f ca="1">Inventory!BW29</f>
        <v>-</v>
      </c>
      <c r="Q23" s="631">
        <f ca="1">IF(ISNUMBER(Inventory!BX29),Inventory!BX29,0)</f>
        <v>0</v>
      </c>
      <c r="R23" s="629">
        <f>Inventory!BY29</f>
        <v>0</v>
      </c>
      <c r="S23" s="630" t="str">
        <f ca="1">Inventory!BV29</f>
        <v>-</v>
      </c>
      <c r="T23">
        <f>0</f>
        <v>0</v>
      </c>
      <c r="U23" t="str">
        <f>IF(Inventory!D29="","",Inventory!D29)</f>
        <v/>
      </c>
      <c r="V23" t="str">
        <f>IF(Inventory!E29="","",Inventory!E29)</f>
        <v/>
      </c>
      <c r="W23" t="str">
        <f>IF(M23="Early Retirement",Inventory!G29,"")</f>
        <v/>
      </c>
      <c r="X23" t="str">
        <f>IF(Inventory!BK29&gt;0,Inventory!BK29,"")</f>
        <v/>
      </c>
      <c r="Y23" s="631" t="str">
        <f>IF(M23="Early Retirement",Inventory!DF29,"")</f>
        <v/>
      </c>
      <c r="Z23">
        <f>Inventory!M29</f>
        <v>0</v>
      </c>
      <c r="AA23">
        <f>Inventory!N29</f>
        <v>0</v>
      </c>
      <c r="AB23">
        <f>Inventory!P29</f>
        <v>0</v>
      </c>
      <c r="AC23" t="e">
        <f>IF(AND(Inventory!BU29="DX",Inventory!V29&lt;&gt;""),Inventory!V29,"")</f>
        <v>#N/A</v>
      </c>
      <c r="AD23" t="e">
        <f>IF(Inventory!BU29="PTRoom",Inventory!V29,"")</f>
        <v>#N/A</v>
      </c>
      <c r="AE23" t="e">
        <f t="shared" si="3"/>
        <v>#N/A</v>
      </c>
      <c r="AF23" t="e">
        <f t="shared" si="5"/>
        <v>#N/A</v>
      </c>
      <c r="AG23" t="e">
        <f t="shared" si="6"/>
        <v>#N/A</v>
      </c>
      <c r="AH23" t="str">
        <f>IF(RIGHT(Inventory!Q29,7)="Chiller",Inventory!V29,"")</f>
        <v/>
      </c>
      <c r="AI23" t="str">
        <f>IF(RIGHT(Inventory!Q29,7)="Chiller",Inventory!X29,"")</f>
        <v/>
      </c>
      <c r="AJ23" t="str">
        <f>IF(M23="Early Retirement",Inventory!K29,"")</f>
        <v/>
      </c>
      <c r="AK23">
        <f>Inventory!AF29</f>
        <v>0</v>
      </c>
      <c r="AL23" t="str">
        <f>IF(AND(M23="Early Retirement",LEFT(Inventory!AC29,3)="EER"),12/Inventory!CJ29,"")</f>
        <v/>
      </c>
      <c r="AM23" t="str">
        <f>IF(LEFT(Inventory!AC29,3)="EER",12/Inventory!CG29,"")</f>
        <v/>
      </c>
      <c r="AN23" t="str">
        <f>IF(LEFT(Inventory!AC29,3)="EER",12/Inventory!CJ29,"")</f>
        <v/>
      </c>
      <c r="AO23" t="str">
        <f>IF(M23="Early Retirement",Inventory!BZ29,"")</f>
        <v/>
      </c>
      <c r="AP23" t="e">
        <f ca="1">Inventory!CG29</f>
        <v>#N/A</v>
      </c>
      <c r="AQ23" t="str">
        <f>Inventory!CJ29</f>
        <v/>
      </c>
      <c r="AR23" t="str">
        <f>IF(AND(M23="Early Retirement",OR(AND(LEFT(Inventory!AC29,3)="EER",Inventory!BN29&lt;=5.42),Inventory!Q29="Air Cooled Chiller")),12/Inventory!CA29,"")</f>
        <v/>
      </c>
      <c r="AS23" t="str">
        <f>IF(OR(AND(LEFT(Inventory!AC29,3)="EER",Inventory!BN29&lt;=5.42),Inventory!Q29="Air Cooled Chiller"),12/Inventory!CH29,"")</f>
        <v/>
      </c>
      <c r="AT23" t="str">
        <f>IF(OR(AND(LEFT(Inventory!AC29,3)="EER",Inventory!BN29&lt;=5.42),Inventory!Q29="Air Cooled Chiller"),12/Inventory!CK29,"")</f>
        <v/>
      </c>
      <c r="AU23" t="str">
        <f>IF(AND(M23="Early Retirement",RIGHT(Inventory!AC29,4)="IEER"),12/Inventory!CA29,"")</f>
        <v/>
      </c>
      <c r="AV23" t="str">
        <f>IF(RIGHT(Inventory!AC29,4)="IEER",12/Inventory!CH29,"")</f>
        <v/>
      </c>
      <c r="AW23" t="str">
        <f>IF(RIGHT(Inventory!AC29,4)="IEER",12/Inventory!CK29,"")</f>
        <v/>
      </c>
      <c r="AX23" t="str">
        <f>IF(M23="Early Retirement",Inventory!CA29,"")</f>
        <v/>
      </c>
      <c r="AY23" t="e">
        <f ca="1">Inventory!CH29</f>
        <v>#N/A</v>
      </c>
      <c r="AZ23" t="str">
        <f>Inventory!CK29</f>
        <v/>
      </c>
      <c r="BA23" t="str">
        <f>IF(AND(M23="Early Retirement",Inventory!BA29=1),12/3.412/Inventory!CB29,"")</f>
        <v/>
      </c>
      <c r="BB23" t="str">
        <f>IF(Inventory!BA29=1,12/3.412/Inventory!CI29,"")</f>
        <v/>
      </c>
      <c r="BC23" t="str">
        <f>IF(Inventory!BA29=1,12/3.412/Inventory!CL29,"")</f>
        <v/>
      </c>
      <c r="BD23" t="str">
        <f>IF(AND(M23="Early Retirement",Inventory!BA29=1,LEFT(Inventory!AE29,4)="HSPF"),12/Inventory!CB29,"")</f>
        <v/>
      </c>
      <c r="BE23" t="str">
        <f>IF(AND(Inventory!BA29=1,LEFT(Inventory!AE29,4)="HSPF"),12/Inventory!CI29,"")</f>
        <v/>
      </c>
      <c r="BF23" t="str">
        <f>IF(AND(Inventory!BA29=1,LEFT(Inventory!AE29,4)="HSPF"),12/Inventory!CL29,"")</f>
        <v/>
      </c>
      <c r="BG23" t="str">
        <f>IF(AND(M23="Early Retirement",RIGHT(Inventory!G29,7)&lt;&gt;"Chiller"),Inventory!H29*IF(Inventory!I29="Btuh",1,12000),"")</f>
        <v/>
      </c>
      <c r="BH23" t="str">
        <f>IF(M23="Early Retirement",Inventory!H29/IF(Inventory!I29="Btuh",12000,1),"")</f>
        <v/>
      </c>
      <c r="BI23">
        <f>IF(RIGHT(Inventory!Q29,7)="Chiller","",Inventory!BP29)</f>
        <v>0</v>
      </c>
      <c r="BJ23">
        <f>Inventory!BN29</f>
        <v>0</v>
      </c>
      <c r="BK23" t="str">
        <f>IF(AND(M23="Early Retirement",Inventory!BA29=1),Inventory!BQ29*12000,"")</f>
        <v/>
      </c>
      <c r="BL23" t="str">
        <f>IF(Inventory!BA29=1,Inventory!BQ29*12000,"")</f>
        <v/>
      </c>
      <c r="BM23" s="631" t="e">
        <f>Inventory!DH29</f>
        <v>#N/A</v>
      </c>
      <c r="BN23">
        <f>IF(ISNUMBER(Inventory!AN29),Inventory!AN29,0)</f>
        <v>0</v>
      </c>
      <c r="BO23">
        <f>IF(ISNUMBER(Inventory!AO29),Inventory!AO29,0)</f>
        <v>0</v>
      </c>
      <c r="BP23">
        <f>0</f>
        <v>0</v>
      </c>
      <c r="BQ23" s="631">
        <f>IF(ISNUMBER(Inventory!AP29),Inventory!AP29,0)</f>
        <v>0</v>
      </c>
      <c r="BR23" s="421">
        <f>Inventory!AQ29</f>
        <v>0</v>
      </c>
    </row>
    <row r="24" spans="1:70" x14ac:dyDescent="0.25">
      <c r="A24" s="624" t="s">
        <v>1254</v>
      </c>
      <c r="B24" s="611"/>
      <c r="C24" s="611"/>
      <c r="D24" s="611"/>
      <c r="E24" s="611"/>
      <c r="F24" s="611"/>
      <c r="G24" s="611"/>
      <c r="I24">
        <f t="shared" si="0"/>
        <v>0</v>
      </c>
      <c r="J24">
        <f t="shared" si="1"/>
        <v>0</v>
      </c>
      <c r="K24" t="e">
        <f>INDEX('Equipment Lookups'!$L$54:$AQ$67,MATCH(Inventory!Q30,'Equipment Lookups'!$J$54:$J$67,0),MATCH('Utility Admin'!$F$2&amp;DSMTEnviro,'Equipment Lookups'!$L$52:$AQ$52,0))</f>
        <v>#N/A</v>
      </c>
      <c r="L24" t="e" cm="1">
        <f t="array" ref="L24">INDEX('Equipment Lookups'!$L$54:$AQ$67,MATCH(Inventory!Q30,'Equipment Lookups'!$J$54:$J$67,0),MATCH('Utility Admin'!$F$2&amp;DSMTEnviro,'Equipment Lookups'!$L$52:$AQ$52,0)+1)</f>
        <v>#N/A</v>
      </c>
      <c r="M24">
        <f>Inventory!B30</f>
        <v>0</v>
      </c>
      <c r="N24">
        <f>Inventory!C30</f>
        <v>0</v>
      </c>
      <c r="O24">
        <f>_xlfn.NUMBERVALUE(RIGHT('Project Info'!$D$9,1))</f>
        <v>0</v>
      </c>
      <c r="P24" s="631" t="str">
        <f ca="1">Inventory!BW30</f>
        <v>-</v>
      </c>
      <c r="Q24" s="631">
        <f ca="1">IF(ISNUMBER(Inventory!BX30),Inventory!BX30,0)</f>
        <v>0</v>
      </c>
      <c r="R24" s="629">
        <f>Inventory!BY30</f>
        <v>0</v>
      </c>
      <c r="S24" s="630" t="str">
        <f ca="1">Inventory!BV30</f>
        <v>-</v>
      </c>
      <c r="T24">
        <f>0</f>
        <v>0</v>
      </c>
      <c r="U24" t="str">
        <f>IF(Inventory!D30="","",Inventory!D30)</f>
        <v/>
      </c>
      <c r="V24" t="str">
        <f>IF(Inventory!E30="","",Inventory!E30)</f>
        <v/>
      </c>
      <c r="W24" t="str">
        <f>IF(M24="Early Retirement",Inventory!G30,"")</f>
        <v/>
      </c>
      <c r="X24" t="str">
        <f>IF(Inventory!BK30&gt;0,Inventory!BK30,"")</f>
        <v/>
      </c>
      <c r="Y24" s="631" t="str">
        <f>IF(M24="Early Retirement",Inventory!DF30,"")</f>
        <v/>
      </c>
      <c r="Z24">
        <f>Inventory!M30</f>
        <v>0</v>
      </c>
      <c r="AA24">
        <f>Inventory!N30</f>
        <v>0</v>
      </c>
      <c r="AB24">
        <f>Inventory!P30</f>
        <v>0</v>
      </c>
      <c r="AC24" t="e">
        <f>IF(AND(Inventory!BU30="DX",Inventory!V30&lt;&gt;""),Inventory!V30,"")</f>
        <v>#N/A</v>
      </c>
      <c r="AD24" t="e">
        <f>IF(Inventory!BU30="PTRoom",Inventory!V30,"")</f>
        <v>#N/A</v>
      </c>
      <c r="AE24" t="e">
        <f t="shared" si="3"/>
        <v>#N/A</v>
      </c>
      <c r="AF24" t="e">
        <f t="shared" si="5"/>
        <v>#N/A</v>
      </c>
      <c r="AG24" t="e">
        <f t="shared" si="6"/>
        <v>#N/A</v>
      </c>
      <c r="AH24" t="str">
        <f>IF(RIGHT(Inventory!Q30,7)="Chiller",Inventory!V30,"")</f>
        <v/>
      </c>
      <c r="AI24" t="str">
        <f>IF(RIGHT(Inventory!Q30,7)="Chiller",Inventory!X30,"")</f>
        <v/>
      </c>
      <c r="AJ24" t="str">
        <f>IF(M24="Early Retirement",Inventory!K30,"")</f>
        <v/>
      </c>
      <c r="AK24">
        <f>Inventory!AF30</f>
        <v>0</v>
      </c>
      <c r="AL24" t="str">
        <f>IF(AND(M24="Early Retirement",LEFT(Inventory!AC30,3)="EER"),12/Inventory!CJ30,"")</f>
        <v/>
      </c>
      <c r="AM24" t="str">
        <f>IF(LEFT(Inventory!AC30,3)="EER",12/Inventory!CG30,"")</f>
        <v/>
      </c>
      <c r="AN24" t="str">
        <f>IF(LEFT(Inventory!AC30,3)="EER",12/Inventory!CJ30,"")</f>
        <v/>
      </c>
      <c r="AO24" t="str">
        <f>IF(M24="Early Retirement",Inventory!BZ30,"")</f>
        <v/>
      </c>
      <c r="AP24" t="e">
        <f ca="1">Inventory!CG30</f>
        <v>#N/A</v>
      </c>
      <c r="AQ24" t="str">
        <f>Inventory!CJ30</f>
        <v/>
      </c>
      <c r="AR24" t="str">
        <f>IF(AND(M24="Early Retirement",OR(AND(LEFT(Inventory!AC30,3)="EER",Inventory!BN30&lt;=5.42),Inventory!Q30="Air Cooled Chiller")),12/Inventory!CA30,"")</f>
        <v/>
      </c>
      <c r="AS24" t="str">
        <f>IF(OR(AND(LEFT(Inventory!AC30,3)="EER",Inventory!BN30&lt;=5.42),Inventory!Q30="Air Cooled Chiller"),12/Inventory!CH30,"")</f>
        <v/>
      </c>
      <c r="AT24" t="str">
        <f>IF(OR(AND(LEFT(Inventory!AC30,3)="EER",Inventory!BN30&lt;=5.42),Inventory!Q30="Air Cooled Chiller"),12/Inventory!CK30,"")</f>
        <v/>
      </c>
      <c r="AU24" t="str">
        <f>IF(AND(M24="Early Retirement",RIGHT(Inventory!AC30,4)="IEER"),12/Inventory!CA30,"")</f>
        <v/>
      </c>
      <c r="AV24" t="str">
        <f>IF(RIGHT(Inventory!AC30,4)="IEER",12/Inventory!CH30,"")</f>
        <v/>
      </c>
      <c r="AW24" t="str">
        <f>IF(RIGHT(Inventory!AC30,4)="IEER",12/Inventory!CK30,"")</f>
        <v/>
      </c>
      <c r="AX24" t="str">
        <f>IF(M24="Early Retirement",Inventory!CA30,"")</f>
        <v/>
      </c>
      <c r="AY24" t="e">
        <f ca="1">Inventory!CH30</f>
        <v>#N/A</v>
      </c>
      <c r="AZ24" t="str">
        <f>Inventory!CK30</f>
        <v/>
      </c>
      <c r="BA24" t="str">
        <f>IF(AND(M24="Early Retirement",Inventory!BA30=1),12/3.412/Inventory!CB30,"")</f>
        <v/>
      </c>
      <c r="BB24" t="str">
        <f>IF(Inventory!BA30=1,12/3.412/Inventory!CI30,"")</f>
        <v/>
      </c>
      <c r="BC24" t="str">
        <f>IF(Inventory!BA30=1,12/3.412/Inventory!CL30,"")</f>
        <v/>
      </c>
      <c r="BD24" t="str">
        <f>IF(AND(M24="Early Retirement",Inventory!BA30=1,LEFT(Inventory!AE30,4)="HSPF"),12/Inventory!CB30,"")</f>
        <v/>
      </c>
      <c r="BE24" t="str">
        <f>IF(AND(Inventory!BA30=1,LEFT(Inventory!AE30,4)="HSPF"),12/Inventory!CI30,"")</f>
        <v/>
      </c>
      <c r="BF24" t="str">
        <f>IF(AND(Inventory!BA30=1,LEFT(Inventory!AE30,4)="HSPF"),12/Inventory!CL30,"")</f>
        <v/>
      </c>
      <c r="BG24" t="str">
        <f>IF(AND(M24="Early Retirement",RIGHT(Inventory!G30,7)&lt;&gt;"Chiller"),Inventory!H30*IF(Inventory!I30="Btuh",1,12000),"")</f>
        <v/>
      </c>
      <c r="BH24" t="str">
        <f>IF(M24="Early Retirement",Inventory!H30/IF(Inventory!I30="Btuh",12000,1),"")</f>
        <v/>
      </c>
      <c r="BI24">
        <f>IF(RIGHT(Inventory!Q30,7)="Chiller","",Inventory!BP30)</f>
        <v>0</v>
      </c>
      <c r="BJ24">
        <f>Inventory!BN30</f>
        <v>0</v>
      </c>
      <c r="BK24" t="str">
        <f>IF(AND(M24="Early Retirement",Inventory!BA30=1),Inventory!BQ30*12000,"")</f>
        <v/>
      </c>
      <c r="BL24" t="str">
        <f>IF(Inventory!BA30=1,Inventory!BQ30*12000,"")</f>
        <v/>
      </c>
      <c r="BM24" s="631" t="e">
        <f>Inventory!DH30</f>
        <v>#N/A</v>
      </c>
      <c r="BN24">
        <f>IF(ISNUMBER(Inventory!AN30),Inventory!AN30,0)</f>
        <v>0</v>
      </c>
      <c r="BO24">
        <f>IF(ISNUMBER(Inventory!AO30),Inventory!AO30,0)</f>
        <v>0</v>
      </c>
      <c r="BP24">
        <f>0</f>
        <v>0</v>
      </c>
      <c r="BQ24" s="631">
        <f>IF(ISNUMBER(Inventory!AP30),Inventory!AP30,0)</f>
        <v>0</v>
      </c>
      <c r="BR24" s="421">
        <f>Inventory!AQ30</f>
        <v>0</v>
      </c>
    </row>
    <row r="25" spans="1:70" x14ac:dyDescent="0.25">
      <c r="A25" s="624"/>
      <c r="B25" s="611"/>
      <c r="C25" s="611"/>
      <c r="D25" s="611"/>
      <c r="E25" s="611"/>
      <c r="F25" s="611"/>
      <c r="G25" s="611"/>
      <c r="I25">
        <f t="shared" si="0"/>
        <v>0</v>
      </c>
      <c r="J25">
        <f t="shared" si="1"/>
        <v>0</v>
      </c>
      <c r="K25" t="e">
        <f>INDEX('Equipment Lookups'!$L$54:$AQ$67,MATCH(Inventory!Q31,'Equipment Lookups'!$J$54:$J$67,0),MATCH('Utility Admin'!$F$2&amp;DSMTEnviro,'Equipment Lookups'!$L$52:$AQ$52,0))</f>
        <v>#N/A</v>
      </c>
      <c r="L25" t="e" cm="1">
        <f t="array" ref="L25">INDEX('Equipment Lookups'!$L$54:$AQ$67,MATCH(Inventory!Q31,'Equipment Lookups'!$J$54:$J$67,0),MATCH('Utility Admin'!$F$2&amp;DSMTEnviro,'Equipment Lookups'!$L$52:$AQ$52,0)+1)</f>
        <v>#N/A</v>
      </c>
      <c r="M25">
        <f>Inventory!B31</f>
        <v>0</v>
      </c>
      <c r="N25">
        <f>Inventory!C31</f>
        <v>0</v>
      </c>
      <c r="O25">
        <f>_xlfn.NUMBERVALUE(RIGHT('Project Info'!$D$9,1))</f>
        <v>0</v>
      </c>
      <c r="P25" s="631" t="str">
        <f ca="1">Inventory!BW31</f>
        <v>-</v>
      </c>
      <c r="Q25" s="631">
        <f ca="1">IF(ISNUMBER(Inventory!BX31),Inventory!BX31,0)</f>
        <v>0</v>
      </c>
      <c r="R25" s="629">
        <f>Inventory!BY31</f>
        <v>0</v>
      </c>
      <c r="S25" s="630" t="str">
        <f ca="1">Inventory!BV31</f>
        <v>-</v>
      </c>
      <c r="T25">
        <f>0</f>
        <v>0</v>
      </c>
      <c r="U25" t="str">
        <f>IF(Inventory!D31="","",Inventory!D31)</f>
        <v/>
      </c>
      <c r="V25" t="str">
        <f>IF(Inventory!E31="","",Inventory!E31)</f>
        <v/>
      </c>
      <c r="W25" t="str">
        <f>IF(M25="Early Retirement",Inventory!G31,"")</f>
        <v/>
      </c>
      <c r="X25" t="str">
        <f>IF(Inventory!BK31&gt;0,Inventory!BK31,"")</f>
        <v/>
      </c>
      <c r="Y25" s="631" t="str">
        <f>IF(M25="Early Retirement",Inventory!DF31,"")</f>
        <v/>
      </c>
      <c r="Z25">
        <f>Inventory!M31</f>
        <v>0</v>
      </c>
      <c r="AA25">
        <f>Inventory!N31</f>
        <v>0</v>
      </c>
      <c r="AB25">
        <f>Inventory!P31</f>
        <v>0</v>
      </c>
      <c r="AC25" t="e">
        <f>IF(AND(Inventory!BU31="DX",Inventory!V31&lt;&gt;""),Inventory!V31,"")</f>
        <v>#N/A</v>
      </c>
      <c r="AD25" t="e">
        <f>IF(Inventory!BU31="PTRoom",Inventory!V31,"")</f>
        <v>#N/A</v>
      </c>
      <c r="AE25" t="e">
        <f t="shared" si="3"/>
        <v>#N/A</v>
      </c>
      <c r="AF25" t="e">
        <f t="shared" si="5"/>
        <v>#N/A</v>
      </c>
      <c r="AG25" t="e">
        <f t="shared" si="6"/>
        <v>#N/A</v>
      </c>
      <c r="AH25" t="str">
        <f>IF(RIGHT(Inventory!Q31,7)="Chiller",Inventory!V31,"")</f>
        <v/>
      </c>
      <c r="AI25" t="str">
        <f>IF(RIGHT(Inventory!Q31,7)="Chiller",Inventory!X31,"")</f>
        <v/>
      </c>
      <c r="AJ25" t="str">
        <f>IF(M25="Early Retirement",Inventory!K31,"")</f>
        <v/>
      </c>
      <c r="AK25">
        <f>Inventory!AF31</f>
        <v>0</v>
      </c>
      <c r="AL25" t="str">
        <f>IF(AND(M25="Early Retirement",LEFT(Inventory!AC31,3)="EER"),12/Inventory!CJ31,"")</f>
        <v/>
      </c>
      <c r="AM25" t="str">
        <f>IF(LEFT(Inventory!AC31,3)="EER",12/Inventory!CG31,"")</f>
        <v/>
      </c>
      <c r="AN25" t="str">
        <f>IF(LEFT(Inventory!AC31,3)="EER",12/Inventory!CJ31,"")</f>
        <v/>
      </c>
      <c r="AO25" t="str">
        <f>IF(M25="Early Retirement",Inventory!BZ31,"")</f>
        <v/>
      </c>
      <c r="AP25" t="e">
        <f ca="1">Inventory!CG31</f>
        <v>#N/A</v>
      </c>
      <c r="AQ25" t="str">
        <f>Inventory!CJ31</f>
        <v/>
      </c>
      <c r="AR25" t="str">
        <f>IF(AND(M25="Early Retirement",OR(AND(LEFT(Inventory!AC31,3)="EER",Inventory!BN31&lt;=5.42),Inventory!Q31="Air Cooled Chiller")),12/Inventory!CA31,"")</f>
        <v/>
      </c>
      <c r="AS25" t="str">
        <f>IF(OR(AND(LEFT(Inventory!AC31,3)="EER",Inventory!BN31&lt;=5.42),Inventory!Q31="Air Cooled Chiller"),12/Inventory!CH31,"")</f>
        <v/>
      </c>
      <c r="AT25" t="str">
        <f>IF(OR(AND(LEFT(Inventory!AC31,3)="EER",Inventory!BN31&lt;=5.42),Inventory!Q31="Air Cooled Chiller"),12/Inventory!CK31,"")</f>
        <v/>
      </c>
      <c r="AU25" t="str">
        <f>IF(AND(M25="Early Retirement",RIGHT(Inventory!AC31,4)="IEER"),12/Inventory!CA31,"")</f>
        <v/>
      </c>
      <c r="AV25" t="str">
        <f>IF(RIGHT(Inventory!AC31,4)="IEER",12/Inventory!CH31,"")</f>
        <v/>
      </c>
      <c r="AW25" t="str">
        <f>IF(RIGHT(Inventory!AC31,4)="IEER",12/Inventory!CK31,"")</f>
        <v/>
      </c>
      <c r="AX25" t="str">
        <f>IF(M25="Early Retirement",Inventory!CA31,"")</f>
        <v/>
      </c>
      <c r="AY25" t="e">
        <f ca="1">Inventory!CH31</f>
        <v>#N/A</v>
      </c>
      <c r="AZ25" t="str">
        <f>Inventory!CK31</f>
        <v/>
      </c>
      <c r="BA25" t="str">
        <f>IF(AND(M25="Early Retirement",Inventory!BA31=1),12/3.412/Inventory!CB31,"")</f>
        <v/>
      </c>
      <c r="BB25" t="str">
        <f>IF(Inventory!BA31=1,12/3.412/Inventory!CI31,"")</f>
        <v/>
      </c>
      <c r="BC25" t="str">
        <f>IF(Inventory!BA31=1,12/3.412/Inventory!CL31,"")</f>
        <v/>
      </c>
      <c r="BD25" t="str">
        <f>IF(AND(M25="Early Retirement",Inventory!BA31=1,LEFT(Inventory!AE31,4)="HSPF"),12/Inventory!CB31,"")</f>
        <v/>
      </c>
      <c r="BE25" t="str">
        <f>IF(AND(Inventory!BA31=1,LEFT(Inventory!AE31,4)="HSPF"),12/Inventory!CI31,"")</f>
        <v/>
      </c>
      <c r="BF25" t="str">
        <f>IF(AND(Inventory!BA31=1,LEFT(Inventory!AE31,4)="HSPF"),12/Inventory!CL31,"")</f>
        <v/>
      </c>
      <c r="BG25" t="str">
        <f>IF(AND(M25="Early Retirement",RIGHT(Inventory!G31,7)&lt;&gt;"Chiller"),Inventory!H31*IF(Inventory!I31="Btuh",1,12000),"")</f>
        <v/>
      </c>
      <c r="BH25" t="str">
        <f>IF(M25="Early Retirement",Inventory!H31/IF(Inventory!I31="Btuh",12000,1),"")</f>
        <v/>
      </c>
      <c r="BI25">
        <f>IF(RIGHT(Inventory!Q31,7)="Chiller","",Inventory!BP31)</f>
        <v>0</v>
      </c>
      <c r="BJ25">
        <f>Inventory!BN31</f>
        <v>0</v>
      </c>
      <c r="BK25" t="str">
        <f>IF(AND(M25="Early Retirement",Inventory!BA31=1),Inventory!BQ31*12000,"")</f>
        <v/>
      </c>
      <c r="BL25" t="str">
        <f>IF(Inventory!BA31=1,Inventory!BQ31*12000,"")</f>
        <v/>
      </c>
      <c r="BM25" s="631" t="e">
        <f>Inventory!DH31</f>
        <v>#N/A</v>
      </c>
      <c r="BN25">
        <f>IF(ISNUMBER(Inventory!AN31),Inventory!AN31,0)</f>
        <v>0</v>
      </c>
      <c r="BO25">
        <f>IF(ISNUMBER(Inventory!AO31),Inventory!AO31,0)</f>
        <v>0</v>
      </c>
      <c r="BP25">
        <f>0</f>
        <v>0</v>
      </c>
      <c r="BQ25" s="631">
        <f>IF(ISNUMBER(Inventory!AP31),Inventory!AP31,0)</f>
        <v>0</v>
      </c>
      <c r="BR25" s="421">
        <f>Inventory!AQ31</f>
        <v>0</v>
      </c>
    </row>
    <row r="26" spans="1:70" x14ac:dyDescent="0.25">
      <c r="A26" s="612" t="s">
        <v>1255</v>
      </c>
      <c r="B26" s="611"/>
      <c r="C26" s="611"/>
      <c r="D26" s="611"/>
      <c r="E26" s="611"/>
      <c r="F26" s="611"/>
      <c r="G26" s="611"/>
      <c r="I26">
        <f t="shared" si="0"/>
        <v>0</v>
      </c>
      <c r="J26">
        <f t="shared" si="1"/>
        <v>0</v>
      </c>
      <c r="K26" t="e">
        <f>INDEX('Equipment Lookups'!$L$54:$AQ$67,MATCH(Inventory!Q32,'Equipment Lookups'!$J$54:$J$67,0),MATCH('Utility Admin'!$F$2&amp;DSMTEnviro,'Equipment Lookups'!$L$52:$AQ$52,0))</f>
        <v>#N/A</v>
      </c>
      <c r="L26" t="e" cm="1">
        <f t="array" ref="L26">INDEX('Equipment Lookups'!$L$54:$AQ$67,MATCH(Inventory!Q32,'Equipment Lookups'!$J$54:$J$67,0),MATCH('Utility Admin'!$F$2&amp;DSMTEnviro,'Equipment Lookups'!$L$52:$AQ$52,0)+1)</f>
        <v>#N/A</v>
      </c>
      <c r="M26">
        <f>Inventory!B32</f>
        <v>0</v>
      </c>
      <c r="N26">
        <f>Inventory!C32</f>
        <v>0</v>
      </c>
      <c r="O26">
        <f>_xlfn.NUMBERVALUE(RIGHT('Project Info'!$D$9,1))</f>
        <v>0</v>
      </c>
      <c r="P26" s="631" t="str">
        <f ca="1">Inventory!BW32</f>
        <v>-</v>
      </c>
      <c r="Q26" s="631">
        <f ca="1">IF(ISNUMBER(Inventory!BX32),Inventory!BX32,0)</f>
        <v>0</v>
      </c>
      <c r="R26" s="629">
        <f>Inventory!BY32</f>
        <v>0</v>
      </c>
      <c r="S26" s="630" t="str">
        <f ca="1">Inventory!BV32</f>
        <v>-</v>
      </c>
      <c r="T26">
        <f>0</f>
        <v>0</v>
      </c>
      <c r="U26" t="str">
        <f>IF(Inventory!D32="","",Inventory!D32)</f>
        <v/>
      </c>
      <c r="V26" t="str">
        <f>IF(Inventory!E32="","",Inventory!E32)</f>
        <v/>
      </c>
      <c r="W26" t="str">
        <f>IF(M26="Early Retirement",Inventory!G32,"")</f>
        <v/>
      </c>
      <c r="X26" t="str">
        <f>IF(Inventory!BK32&gt;0,Inventory!BK32,"")</f>
        <v/>
      </c>
      <c r="Y26" s="631" t="str">
        <f>IF(M26="Early Retirement",Inventory!DF32,"")</f>
        <v/>
      </c>
      <c r="Z26">
        <f>Inventory!M32</f>
        <v>0</v>
      </c>
      <c r="AA26">
        <f>Inventory!N32</f>
        <v>0</v>
      </c>
      <c r="AB26">
        <f>Inventory!P32</f>
        <v>0</v>
      </c>
      <c r="AC26" t="e">
        <f>IF(AND(Inventory!BU32="DX",Inventory!V32&lt;&gt;""),Inventory!V32,"")</f>
        <v>#N/A</v>
      </c>
      <c r="AD26" t="e">
        <f>IF(Inventory!BU32="PTRoom",Inventory!V32,"")</f>
        <v>#N/A</v>
      </c>
      <c r="AE26" t="e">
        <f t="shared" si="3"/>
        <v>#N/A</v>
      </c>
      <c r="AF26" t="e">
        <f t="shared" si="5"/>
        <v>#N/A</v>
      </c>
      <c r="AG26" t="e">
        <f t="shared" si="6"/>
        <v>#N/A</v>
      </c>
      <c r="AH26" t="str">
        <f>IF(RIGHT(Inventory!Q32,7)="Chiller",Inventory!V32,"")</f>
        <v/>
      </c>
      <c r="AI26" t="str">
        <f>IF(RIGHT(Inventory!Q32,7)="Chiller",Inventory!X32,"")</f>
        <v/>
      </c>
      <c r="AJ26" t="str">
        <f>IF(M26="Early Retirement",Inventory!K32,"")</f>
        <v/>
      </c>
      <c r="AK26">
        <f>Inventory!AF32</f>
        <v>0</v>
      </c>
      <c r="AL26" t="str">
        <f>IF(AND(M26="Early Retirement",LEFT(Inventory!AC32,3)="EER"),12/Inventory!CJ32,"")</f>
        <v/>
      </c>
      <c r="AM26" t="str">
        <f>IF(LEFT(Inventory!AC32,3)="EER",12/Inventory!CG32,"")</f>
        <v/>
      </c>
      <c r="AN26" t="str">
        <f>IF(LEFT(Inventory!AC32,3)="EER",12/Inventory!CJ32,"")</f>
        <v/>
      </c>
      <c r="AO26" t="str">
        <f>IF(M26="Early Retirement",Inventory!BZ32,"")</f>
        <v/>
      </c>
      <c r="AP26" t="e">
        <f ca="1">Inventory!CG32</f>
        <v>#N/A</v>
      </c>
      <c r="AQ26" t="str">
        <f>Inventory!CJ32</f>
        <v/>
      </c>
      <c r="AR26" t="str">
        <f>IF(AND(M26="Early Retirement",OR(AND(LEFT(Inventory!AC32,3)="EER",Inventory!BN32&lt;=5.42),Inventory!Q32="Air Cooled Chiller")),12/Inventory!CA32,"")</f>
        <v/>
      </c>
      <c r="AS26" t="str">
        <f>IF(OR(AND(LEFT(Inventory!AC32,3)="EER",Inventory!BN32&lt;=5.42),Inventory!Q32="Air Cooled Chiller"),12/Inventory!CH32,"")</f>
        <v/>
      </c>
      <c r="AT26" t="str">
        <f>IF(OR(AND(LEFT(Inventory!AC32,3)="EER",Inventory!BN32&lt;=5.42),Inventory!Q32="Air Cooled Chiller"),12/Inventory!CK32,"")</f>
        <v/>
      </c>
      <c r="AU26" t="str">
        <f>IF(AND(M26="Early Retirement",RIGHT(Inventory!AC32,4)="IEER"),12/Inventory!CA32,"")</f>
        <v/>
      </c>
      <c r="AV26" t="str">
        <f>IF(RIGHT(Inventory!AC32,4)="IEER",12/Inventory!CH32,"")</f>
        <v/>
      </c>
      <c r="AW26" t="str">
        <f>IF(RIGHT(Inventory!AC32,4)="IEER",12/Inventory!CK32,"")</f>
        <v/>
      </c>
      <c r="AX26" t="str">
        <f>IF(M26="Early Retirement",Inventory!CA32,"")</f>
        <v/>
      </c>
      <c r="AY26" t="e">
        <f ca="1">Inventory!CH32</f>
        <v>#N/A</v>
      </c>
      <c r="AZ26" t="str">
        <f>Inventory!CK32</f>
        <v/>
      </c>
      <c r="BA26" t="str">
        <f>IF(AND(M26="Early Retirement",Inventory!BA32=1),12/3.412/Inventory!CB32,"")</f>
        <v/>
      </c>
      <c r="BB26" t="str">
        <f>IF(Inventory!BA32=1,12/3.412/Inventory!CI32,"")</f>
        <v/>
      </c>
      <c r="BC26" t="str">
        <f>IF(Inventory!BA32=1,12/3.412/Inventory!CL32,"")</f>
        <v/>
      </c>
      <c r="BD26" t="str">
        <f>IF(AND(M26="Early Retirement",Inventory!BA32=1,LEFT(Inventory!AE32,4)="HSPF"),12/Inventory!CB32,"")</f>
        <v/>
      </c>
      <c r="BE26" t="str">
        <f>IF(AND(Inventory!BA32=1,LEFT(Inventory!AE32,4)="HSPF"),12/Inventory!CI32,"")</f>
        <v/>
      </c>
      <c r="BF26" t="str">
        <f>IF(AND(Inventory!BA32=1,LEFT(Inventory!AE32,4)="HSPF"),12/Inventory!CL32,"")</f>
        <v/>
      </c>
      <c r="BG26" t="str">
        <f>IF(AND(M26="Early Retirement",RIGHT(Inventory!G32,7)&lt;&gt;"Chiller"),Inventory!H32*IF(Inventory!I32="Btuh",1,12000),"")</f>
        <v/>
      </c>
      <c r="BH26" t="str">
        <f>IF(M26="Early Retirement",Inventory!H32/IF(Inventory!I32="Btuh",12000,1),"")</f>
        <v/>
      </c>
      <c r="BI26">
        <f>IF(RIGHT(Inventory!Q32,7)="Chiller","",Inventory!BP32)</f>
        <v>0</v>
      </c>
      <c r="BJ26">
        <f>Inventory!BN32</f>
        <v>0</v>
      </c>
      <c r="BK26" t="str">
        <f>IF(AND(M26="Early Retirement",Inventory!BA32=1),Inventory!BQ32*12000,"")</f>
        <v/>
      </c>
      <c r="BL26" t="str">
        <f>IF(Inventory!BA32=1,Inventory!BQ32*12000,"")</f>
        <v/>
      </c>
      <c r="BM26" s="631" t="e">
        <f>Inventory!DH32</f>
        <v>#N/A</v>
      </c>
      <c r="BN26">
        <f>IF(ISNUMBER(Inventory!AN32),Inventory!AN32,0)</f>
        <v>0</v>
      </c>
      <c r="BO26">
        <f>IF(ISNUMBER(Inventory!AO32),Inventory!AO32,0)</f>
        <v>0</v>
      </c>
      <c r="BP26">
        <f>0</f>
        <v>0</v>
      </c>
      <c r="BQ26" s="631">
        <f>IF(ISNUMBER(Inventory!AP32),Inventory!AP32,0)</f>
        <v>0</v>
      </c>
      <c r="BR26" s="421">
        <f>Inventory!AQ32</f>
        <v>0</v>
      </c>
    </row>
    <row r="27" spans="1:70" x14ac:dyDescent="0.25">
      <c r="A27" s="625"/>
      <c r="B27" s="626" t="s">
        <v>1256</v>
      </c>
      <c r="C27" s="627" t="s">
        <v>1475</v>
      </c>
      <c r="D27" s="611"/>
      <c r="E27" s="611"/>
      <c r="F27" s="611"/>
      <c r="G27" s="611"/>
    </row>
    <row r="28" spans="1:70" x14ac:dyDescent="0.25">
      <c r="A28" s="611"/>
      <c r="B28" s="611"/>
      <c r="C28" s="611"/>
      <c r="D28" s="611"/>
      <c r="E28" s="611"/>
      <c r="F28" s="611"/>
      <c r="G28" s="611"/>
    </row>
    <row r="29" spans="1:70" x14ac:dyDescent="0.25">
      <c r="A29" s="85"/>
      <c r="B29" s="85"/>
      <c r="C29" s="85"/>
      <c r="D29" s="85"/>
      <c r="E29" s="85"/>
      <c r="F29" s="85"/>
      <c r="G29" s="85"/>
    </row>
    <row r="30" spans="1:70" x14ac:dyDescent="0.25">
      <c r="A30" s="85"/>
      <c r="B30" s="85"/>
      <c r="C30" s="85"/>
      <c r="D30" s="85"/>
      <c r="E30" s="85"/>
      <c r="F30" s="85"/>
      <c r="G30" s="85"/>
    </row>
    <row r="31" spans="1:70" x14ac:dyDescent="0.25">
      <c r="A31" s="85"/>
      <c r="B31" s="85"/>
      <c r="C31" s="85"/>
      <c r="D31" s="85"/>
      <c r="E31" s="85"/>
      <c r="F31" s="85"/>
      <c r="G31" s="85"/>
    </row>
    <row r="32" spans="1:70" x14ac:dyDescent="0.25">
      <c r="A32" s="85"/>
      <c r="B32" s="85"/>
      <c r="C32" s="85"/>
      <c r="D32" s="85"/>
      <c r="E32" s="85"/>
      <c r="F32" s="85"/>
      <c r="G32" s="85"/>
    </row>
    <row r="33" spans="1:7" x14ac:dyDescent="0.25">
      <c r="A33" s="85"/>
      <c r="B33" s="85"/>
      <c r="C33" s="85"/>
      <c r="D33" s="85"/>
      <c r="E33" s="85"/>
      <c r="F33" s="85"/>
      <c r="G33" s="85"/>
    </row>
    <row r="34" spans="1:7" x14ac:dyDescent="0.25">
      <c r="A34" s="85"/>
      <c r="B34" s="85"/>
      <c r="C34" s="85"/>
      <c r="D34" s="85"/>
      <c r="E34" s="85"/>
      <c r="F34" s="85"/>
      <c r="G34" s="85"/>
    </row>
    <row r="35" spans="1:7" x14ac:dyDescent="0.25">
      <c r="A35" s="85"/>
      <c r="B35" s="85"/>
      <c r="C35" s="85"/>
      <c r="D35" s="85"/>
      <c r="E35" s="85"/>
      <c r="F35" s="85"/>
      <c r="G35" s="85"/>
    </row>
    <row r="36" spans="1:7" x14ac:dyDescent="0.25">
      <c r="A36" s="85"/>
      <c r="B36" s="85"/>
      <c r="C36" s="85"/>
      <c r="D36" s="85"/>
      <c r="E36" s="85"/>
      <c r="F36" s="85"/>
      <c r="G36" s="85"/>
    </row>
    <row r="37" spans="1:7" x14ac:dyDescent="0.25">
      <c r="A37" s="85"/>
      <c r="B37" s="85"/>
      <c r="C37" s="85"/>
      <c r="D37" s="85"/>
      <c r="E37" s="85"/>
      <c r="F37" s="85"/>
      <c r="G37" s="85"/>
    </row>
    <row r="38" spans="1:7" x14ac:dyDescent="0.25">
      <c r="A38" s="85"/>
      <c r="B38" s="85"/>
      <c r="C38" s="85"/>
      <c r="D38" s="85"/>
      <c r="E38" s="85"/>
      <c r="F38" s="85"/>
      <c r="G38" s="85"/>
    </row>
    <row r="39" spans="1:7" x14ac:dyDescent="0.25">
      <c r="A39" s="85"/>
      <c r="B39" s="85"/>
      <c r="C39" s="85"/>
      <c r="D39" s="85"/>
      <c r="E39" s="85"/>
      <c r="F39" s="85"/>
      <c r="G39" s="85"/>
    </row>
    <row r="40" spans="1:7" x14ac:dyDescent="0.25">
      <c r="A40" s="85"/>
      <c r="B40" s="85"/>
      <c r="C40" s="85"/>
      <c r="D40" s="85"/>
      <c r="E40" s="85"/>
      <c r="F40" s="85"/>
      <c r="G40" s="85"/>
    </row>
    <row r="41" spans="1:7" x14ac:dyDescent="0.25">
      <c r="A41" s="85"/>
      <c r="B41" s="85"/>
      <c r="C41" s="85"/>
      <c r="D41" s="85"/>
      <c r="E41" s="85"/>
      <c r="F41" s="85"/>
      <c r="G41" s="85"/>
    </row>
    <row r="42" spans="1:7" x14ac:dyDescent="0.25">
      <c r="A42" s="85"/>
      <c r="B42" s="85"/>
      <c r="C42" s="85"/>
      <c r="D42" s="85"/>
      <c r="E42" s="85"/>
      <c r="F42" s="85"/>
      <c r="G42" s="85"/>
    </row>
    <row r="43" spans="1:7" x14ac:dyDescent="0.25">
      <c r="A43" s="85"/>
      <c r="B43" s="85"/>
      <c r="C43" s="85"/>
      <c r="D43" s="85"/>
      <c r="E43" s="85"/>
      <c r="F43" s="85"/>
      <c r="G43" s="85"/>
    </row>
    <row r="44" spans="1:7" x14ac:dyDescent="0.25">
      <c r="A44" s="85"/>
      <c r="B44" s="85"/>
      <c r="C44" s="85"/>
      <c r="D44" s="85"/>
      <c r="E44" s="85"/>
      <c r="F44" s="85"/>
      <c r="G44" s="85"/>
    </row>
    <row r="45" spans="1:7" x14ac:dyDescent="0.25">
      <c r="A45" s="85"/>
      <c r="B45" s="85"/>
      <c r="C45" s="85"/>
      <c r="D45" s="85"/>
      <c r="E45" s="85"/>
      <c r="F45" s="85"/>
      <c r="G45" s="85"/>
    </row>
    <row r="46" spans="1:7" x14ac:dyDescent="0.25">
      <c r="A46" s="85"/>
      <c r="B46" s="85"/>
      <c r="C46" s="85"/>
      <c r="D46" s="85"/>
      <c r="E46" s="85"/>
      <c r="F46" s="85"/>
      <c r="G46" s="85"/>
    </row>
    <row r="47" spans="1:7" x14ac:dyDescent="0.25">
      <c r="A47" s="85"/>
      <c r="B47" s="85"/>
      <c r="C47" s="85"/>
      <c r="D47" s="85"/>
      <c r="E47" s="85"/>
      <c r="F47" s="85"/>
      <c r="G47" s="85"/>
    </row>
    <row r="48" spans="1:7" x14ac:dyDescent="0.25">
      <c r="A48" s="85"/>
      <c r="B48" s="85"/>
      <c r="C48" s="85"/>
      <c r="D48" s="85"/>
      <c r="E48" s="85"/>
      <c r="F48" s="85"/>
      <c r="G48" s="85"/>
    </row>
    <row r="49" spans="1:7" x14ac:dyDescent="0.25">
      <c r="A49" s="85"/>
      <c r="B49" s="85"/>
      <c r="C49" s="85"/>
      <c r="D49" s="85"/>
      <c r="E49" s="85"/>
      <c r="F49" s="85"/>
      <c r="G49" s="85"/>
    </row>
    <row r="50" spans="1:7" x14ac:dyDescent="0.25">
      <c r="A50" s="85"/>
      <c r="B50" s="85"/>
      <c r="C50" s="85"/>
      <c r="D50" s="85"/>
      <c r="E50" s="85"/>
      <c r="F50" s="85"/>
      <c r="G50" s="85"/>
    </row>
    <row r="51" spans="1:7" x14ac:dyDescent="0.25">
      <c r="A51" s="85"/>
      <c r="B51" s="85"/>
      <c r="C51" s="85"/>
      <c r="D51" s="85"/>
      <c r="E51" s="85"/>
      <c r="F51" s="85"/>
      <c r="G51" s="85"/>
    </row>
    <row r="52" spans="1:7" x14ac:dyDescent="0.25">
      <c r="A52" s="85"/>
      <c r="B52" s="85"/>
      <c r="C52" s="85"/>
      <c r="D52" s="85"/>
      <c r="E52" s="85"/>
      <c r="F52" s="85"/>
      <c r="G52" s="85"/>
    </row>
    <row r="53" spans="1:7" x14ac:dyDescent="0.25">
      <c r="A53" s="85"/>
      <c r="B53" s="85"/>
      <c r="C53" s="85"/>
      <c r="D53" s="85"/>
      <c r="E53" s="85"/>
      <c r="F53" s="85"/>
      <c r="G53" s="85"/>
    </row>
    <row r="54" spans="1:7" x14ac:dyDescent="0.25">
      <c r="A54" s="85"/>
      <c r="B54" s="85"/>
      <c r="C54" s="85"/>
      <c r="D54" s="85"/>
      <c r="E54" s="85"/>
      <c r="F54" s="85"/>
      <c r="G54" s="85"/>
    </row>
    <row r="55" spans="1:7" x14ac:dyDescent="0.25">
      <c r="A55" s="85"/>
      <c r="B55" s="85"/>
      <c r="C55" s="85"/>
      <c r="D55" s="85"/>
      <c r="E55" s="85"/>
      <c r="F55" s="85"/>
      <c r="G55" s="85"/>
    </row>
    <row r="56" spans="1:7" x14ac:dyDescent="0.25">
      <c r="A56" s="85"/>
      <c r="B56" s="85"/>
      <c r="C56" s="85"/>
      <c r="D56" s="85"/>
      <c r="E56" s="85"/>
      <c r="F56" s="85"/>
      <c r="G56" s="85"/>
    </row>
    <row r="57" spans="1:7" x14ac:dyDescent="0.25">
      <c r="A57" s="85"/>
      <c r="B57" s="85"/>
      <c r="C57" s="85"/>
      <c r="D57" s="85"/>
      <c r="E57" s="85"/>
      <c r="F57" s="85"/>
      <c r="G57" s="85"/>
    </row>
    <row r="58" spans="1:7" x14ac:dyDescent="0.25">
      <c r="A58" s="85"/>
      <c r="B58" s="85"/>
      <c r="C58" s="85"/>
      <c r="D58" s="85"/>
      <c r="E58" s="85"/>
      <c r="F58" s="85"/>
      <c r="G58" s="85"/>
    </row>
    <row r="59" spans="1:7" x14ac:dyDescent="0.25">
      <c r="A59" s="85"/>
      <c r="B59" s="85"/>
      <c r="C59" s="85"/>
      <c r="D59" s="85"/>
      <c r="E59" s="85"/>
      <c r="F59" s="85"/>
      <c r="G59" s="85"/>
    </row>
    <row r="60" spans="1:7" x14ac:dyDescent="0.25">
      <c r="A60" s="85"/>
      <c r="B60" s="85"/>
      <c r="C60" s="85"/>
      <c r="D60" s="85"/>
      <c r="E60" s="85"/>
      <c r="F60" s="85"/>
      <c r="G60" s="85"/>
    </row>
    <row r="61" spans="1:7" x14ac:dyDescent="0.25">
      <c r="A61" s="85"/>
      <c r="B61" s="85"/>
      <c r="C61" s="85"/>
      <c r="D61" s="85"/>
      <c r="E61" s="85"/>
      <c r="F61" s="85"/>
      <c r="G61" s="85"/>
    </row>
    <row r="62" spans="1:7" x14ac:dyDescent="0.25">
      <c r="A62" s="85"/>
      <c r="B62" s="85"/>
      <c r="C62" s="85"/>
      <c r="D62" s="85"/>
      <c r="E62" s="85"/>
      <c r="F62" s="85"/>
      <c r="G62" s="85"/>
    </row>
    <row r="63" spans="1:7" x14ac:dyDescent="0.25">
      <c r="A63" s="85"/>
      <c r="B63" s="85"/>
      <c r="C63" s="85"/>
      <c r="D63" s="85"/>
      <c r="E63" s="85"/>
      <c r="F63" s="85"/>
      <c r="G63" s="85"/>
    </row>
    <row r="64" spans="1:7" x14ac:dyDescent="0.25">
      <c r="A64" s="85"/>
      <c r="B64" s="85"/>
      <c r="C64" s="85"/>
      <c r="D64" s="85"/>
      <c r="E64" s="85"/>
      <c r="F64" s="85"/>
      <c r="G64" s="85"/>
    </row>
    <row r="65" spans="1:7" x14ac:dyDescent="0.25">
      <c r="A65" s="85"/>
      <c r="B65" s="85"/>
      <c r="C65" s="85"/>
      <c r="D65" s="85"/>
      <c r="E65" s="85"/>
      <c r="F65" s="85"/>
      <c r="G65" s="85"/>
    </row>
    <row r="66" spans="1:7" x14ac:dyDescent="0.25">
      <c r="A66" s="85"/>
      <c r="B66" s="85"/>
      <c r="C66" s="85"/>
      <c r="D66" s="85"/>
      <c r="E66" s="85"/>
      <c r="F66" s="85"/>
      <c r="G66" s="85"/>
    </row>
    <row r="67" spans="1:7" x14ac:dyDescent="0.25">
      <c r="A67" s="85"/>
      <c r="B67" s="85"/>
      <c r="C67" s="85"/>
      <c r="D67" s="85"/>
      <c r="E67" s="85"/>
      <c r="F67" s="85"/>
      <c r="G67" s="85"/>
    </row>
    <row r="68" spans="1:7" x14ac:dyDescent="0.25">
      <c r="A68" s="85"/>
      <c r="B68" s="85"/>
      <c r="C68" s="85"/>
      <c r="D68" s="85"/>
      <c r="E68" s="85"/>
      <c r="F68" s="85"/>
      <c r="G68" s="85"/>
    </row>
    <row r="69" spans="1:7" x14ac:dyDescent="0.25">
      <c r="A69" s="85"/>
      <c r="B69" s="85"/>
      <c r="C69" s="85"/>
      <c r="D69" s="85"/>
      <c r="E69" s="85"/>
      <c r="F69" s="85"/>
      <c r="G69" s="85"/>
    </row>
    <row r="70" spans="1:7" x14ac:dyDescent="0.25">
      <c r="A70" s="85"/>
      <c r="B70" s="85"/>
      <c r="C70" s="85"/>
      <c r="D70" s="85"/>
      <c r="E70" s="85"/>
      <c r="F70" s="85"/>
      <c r="G70" s="85"/>
    </row>
    <row r="71" spans="1:7" x14ac:dyDescent="0.25">
      <c r="A71" s="85"/>
      <c r="B71" s="85"/>
      <c r="C71" s="85"/>
      <c r="D71" s="85"/>
      <c r="E71" s="85"/>
      <c r="F71" s="85"/>
      <c r="G71" s="85"/>
    </row>
    <row r="72" spans="1:7" x14ac:dyDescent="0.25">
      <c r="A72" s="85"/>
      <c r="B72" s="85"/>
      <c r="C72" s="85"/>
      <c r="D72" s="85"/>
      <c r="E72" s="85"/>
      <c r="F72" s="85"/>
      <c r="G72" s="85"/>
    </row>
    <row r="73" spans="1:7" x14ac:dyDescent="0.25">
      <c r="A73" s="85"/>
      <c r="B73" s="85"/>
      <c r="C73" s="85"/>
      <c r="D73" s="85"/>
      <c r="E73" s="85"/>
      <c r="F73" s="85"/>
      <c r="G73" s="85"/>
    </row>
    <row r="74" spans="1:7" x14ac:dyDescent="0.25">
      <c r="A74" s="85"/>
      <c r="B74" s="85"/>
      <c r="C74" s="85"/>
      <c r="D74" s="85"/>
      <c r="E74" s="85"/>
      <c r="F74" s="85"/>
      <c r="G74" s="85"/>
    </row>
    <row r="75" spans="1:7" x14ac:dyDescent="0.25">
      <c r="A75" s="85"/>
      <c r="B75" s="85"/>
      <c r="C75" s="85"/>
      <c r="D75" s="85"/>
      <c r="E75" s="85"/>
      <c r="F75" s="85"/>
      <c r="G75" s="85"/>
    </row>
    <row r="76" spans="1:7" x14ac:dyDescent="0.25">
      <c r="A76" s="85"/>
      <c r="B76" s="85"/>
      <c r="C76" s="85"/>
      <c r="D76" s="85"/>
      <c r="E76" s="85"/>
      <c r="F76" s="85"/>
      <c r="G76" s="85"/>
    </row>
    <row r="77" spans="1:7" x14ac:dyDescent="0.25">
      <c r="A77" s="85"/>
      <c r="B77" s="85"/>
      <c r="C77" s="85"/>
      <c r="D77" s="85"/>
      <c r="E77" s="85"/>
      <c r="F77" s="85"/>
      <c r="G77" s="85"/>
    </row>
    <row r="78" spans="1:7" x14ac:dyDescent="0.25">
      <c r="A78" s="85"/>
      <c r="B78" s="85"/>
      <c r="C78" s="85"/>
      <c r="D78" s="85"/>
      <c r="E78" s="85"/>
      <c r="F78" s="85"/>
      <c r="G78" s="85"/>
    </row>
    <row r="79" spans="1:7" x14ac:dyDescent="0.25">
      <c r="A79" s="85"/>
      <c r="B79" s="85"/>
      <c r="C79" s="85"/>
      <c r="D79" s="85"/>
      <c r="E79" s="85"/>
      <c r="F79" s="85"/>
      <c r="G79" s="85"/>
    </row>
    <row r="80" spans="1:7" x14ac:dyDescent="0.25">
      <c r="A80" s="85"/>
      <c r="B80" s="85"/>
      <c r="C80" s="85"/>
      <c r="D80" s="85"/>
      <c r="E80" s="85"/>
      <c r="F80" s="85"/>
      <c r="G80" s="85"/>
    </row>
    <row r="81" spans="1:7" x14ac:dyDescent="0.25">
      <c r="A81" s="85"/>
      <c r="B81" s="85"/>
      <c r="C81" s="85"/>
      <c r="D81" s="85"/>
      <c r="E81" s="85"/>
      <c r="F81" s="85"/>
      <c r="G81" s="85"/>
    </row>
    <row r="82" spans="1:7" x14ac:dyDescent="0.25">
      <c r="A82" s="85"/>
      <c r="B82" s="85"/>
      <c r="C82" s="85"/>
      <c r="D82" s="85"/>
      <c r="E82" s="85"/>
      <c r="F82" s="85"/>
      <c r="G82" s="85"/>
    </row>
    <row r="83" spans="1:7" x14ac:dyDescent="0.25">
      <c r="A83" s="85"/>
      <c r="B83" s="85"/>
      <c r="C83" s="85"/>
      <c r="D83" s="85"/>
      <c r="E83" s="85"/>
      <c r="F83" s="85"/>
      <c r="G83" s="85"/>
    </row>
    <row r="84" spans="1:7" x14ac:dyDescent="0.25">
      <c r="A84" s="85"/>
      <c r="B84" s="85"/>
      <c r="C84" s="85"/>
      <c r="D84" s="85"/>
      <c r="E84" s="85"/>
      <c r="F84" s="85"/>
      <c r="G84" s="85"/>
    </row>
    <row r="85" spans="1:7" x14ac:dyDescent="0.25">
      <c r="A85" s="85"/>
      <c r="B85" s="85"/>
      <c r="C85" s="85"/>
      <c r="D85" s="85"/>
      <c r="E85" s="85"/>
      <c r="F85" s="85"/>
      <c r="G85" s="85"/>
    </row>
    <row r="86" spans="1:7" x14ac:dyDescent="0.25">
      <c r="A86" s="85"/>
      <c r="B86" s="85"/>
      <c r="C86" s="85"/>
      <c r="D86" s="85"/>
      <c r="E86" s="85"/>
      <c r="F86" s="85"/>
      <c r="G86" s="85"/>
    </row>
    <row r="87" spans="1:7" x14ac:dyDescent="0.25">
      <c r="A87" s="85"/>
      <c r="B87" s="85"/>
      <c r="C87" s="85"/>
      <c r="D87" s="85"/>
      <c r="E87" s="85"/>
      <c r="F87" s="85"/>
      <c r="G87" s="85"/>
    </row>
    <row r="88" spans="1:7" x14ac:dyDescent="0.25">
      <c r="A88" s="85"/>
      <c r="B88" s="85"/>
      <c r="C88" s="85"/>
      <c r="D88" s="85"/>
      <c r="E88" s="85"/>
      <c r="F88" s="85"/>
      <c r="G88" s="85"/>
    </row>
    <row r="89" spans="1:7" x14ac:dyDescent="0.25">
      <c r="A89" s="85"/>
      <c r="B89" s="85"/>
      <c r="C89" s="85"/>
      <c r="D89" s="85"/>
      <c r="E89" s="85"/>
      <c r="F89" s="85"/>
      <c r="G89" s="85"/>
    </row>
    <row r="90" spans="1:7" x14ac:dyDescent="0.25">
      <c r="A90" s="85"/>
      <c r="B90" s="85"/>
      <c r="C90" s="85"/>
      <c r="D90" s="85"/>
      <c r="E90" s="85"/>
      <c r="F90" s="85"/>
      <c r="G90" s="85"/>
    </row>
    <row r="91" spans="1:7" x14ac:dyDescent="0.25">
      <c r="A91" s="85"/>
      <c r="B91" s="85"/>
      <c r="C91" s="85"/>
      <c r="D91" s="85"/>
      <c r="E91" s="85"/>
      <c r="F91" s="85"/>
      <c r="G91" s="85"/>
    </row>
    <row r="92" spans="1:7" x14ac:dyDescent="0.25">
      <c r="A92" s="85"/>
      <c r="B92" s="85"/>
      <c r="C92" s="85"/>
      <c r="D92" s="85"/>
      <c r="E92" s="85"/>
      <c r="F92" s="85"/>
      <c r="G92" s="85"/>
    </row>
    <row r="93" spans="1:7" x14ac:dyDescent="0.25">
      <c r="A93" s="85"/>
      <c r="B93" s="85"/>
      <c r="C93" s="85"/>
      <c r="D93" s="85"/>
      <c r="E93" s="85"/>
      <c r="F93" s="85"/>
      <c r="G93" s="85"/>
    </row>
    <row r="94" spans="1:7" x14ac:dyDescent="0.25">
      <c r="A94" s="85"/>
      <c r="B94" s="85"/>
      <c r="C94" s="85"/>
      <c r="D94" s="85"/>
      <c r="E94" s="85"/>
      <c r="F94" s="85"/>
      <c r="G94" s="85"/>
    </row>
    <row r="95" spans="1:7" x14ac:dyDescent="0.25">
      <c r="A95" s="85"/>
      <c r="B95" s="85"/>
      <c r="C95" s="85"/>
      <c r="D95" s="85"/>
      <c r="E95" s="85"/>
      <c r="F95" s="85"/>
      <c r="G95" s="85"/>
    </row>
    <row r="96" spans="1:7" x14ac:dyDescent="0.25">
      <c r="A96" s="85"/>
      <c r="B96" s="85"/>
      <c r="C96" s="85"/>
      <c r="D96" s="85"/>
      <c r="E96" s="85"/>
      <c r="F96" s="85"/>
      <c r="G96" s="85"/>
    </row>
    <row r="97" spans="1:7" x14ac:dyDescent="0.25">
      <c r="A97" s="85"/>
      <c r="B97" s="85"/>
      <c r="C97" s="85"/>
      <c r="D97" s="85"/>
      <c r="E97" s="85"/>
      <c r="F97" s="85"/>
      <c r="G97" s="85"/>
    </row>
    <row r="98" spans="1:7" x14ac:dyDescent="0.25">
      <c r="A98" s="85"/>
      <c r="B98" s="85"/>
      <c r="C98" s="85"/>
      <c r="D98" s="85"/>
      <c r="E98" s="85"/>
      <c r="F98" s="85"/>
      <c r="G98" s="85"/>
    </row>
    <row r="99" spans="1:7" x14ac:dyDescent="0.25">
      <c r="A99" s="85"/>
      <c r="B99" s="85"/>
      <c r="C99" s="85"/>
      <c r="D99" s="85"/>
      <c r="E99" s="85"/>
      <c r="F99" s="85"/>
      <c r="G99" s="85"/>
    </row>
    <row r="100" spans="1:7" x14ac:dyDescent="0.25">
      <c r="A100" s="85"/>
      <c r="B100" s="85"/>
      <c r="C100" s="85"/>
      <c r="D100" s="85"/>
      <c r="E100" s="85"/>
      <c r="F100" s="85"/>
      <c r="G100" s="85"/>
    </row>
  </sheetData>
  <mergeCells count="5">
    <mergeCell ref="A1:D1"/>
    <mergeCell ref="G3:G4"/>
    <mergeCell ref="A12:F13"/>
    <mergeCell ref="A14:F15"/>
    <mergeCell ref="B22:F23"/>
  </mergeCells>
  <dataValidations count="1">
    <dataValidation type="list" allowBlank="1" showInputMessage="1" showErrorMessage="1" sqref="C27" xr:uid="{A388A0E5-4F66-4A3E-8A82-228EE7B7E269}">
      <formula1>"PROD,UAT"</formula1>
    </dataValidation>
  </dataValidation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A87FB-DE9E-44E4-BA62-617398A379F8}">
  <sheetPr codeName="Sheet21"/>
  <dimension ref="A1:BJ3"/>
  <sheetViews>
    <sheetView workbookViewId="0">
      <selection activeCell="E19" sqref="E19"/>
    </sheetView>
  </sheetViews>
  <sheetFormatPr defaultRowHeight="15" x14ac:dyDescent="0.25"/>
  <cols>
    <col min="18" max="18" width="21" customWidth="1"/>
  </cols>
  <sheetData>
    <row r="1" spans="1:62" x14ac:dyDescent="0.25">
      <c r="A1" t="s">
        <v>1258</v>
      </c>
      <c r="B1" t="s">
        <v>1259</v>
      </c>
      <c r="C1" t="s">
        <v>1260</v>
      </c>
      <c r="D1" t="s">
        <v>1406</v>
      </c>
      <c r="E1" t="s">
        <v>1261</v>
      </c>
      <c r="F1" t="s">
        <v>1262</v>
      </c>
      <c r="G1" t="s">
        <v>1263</v>
      </c>
      <c r="H1" t="s">
        <v>1264</v>
      </c>
      <c r="I1" t="s">
        <v>1265</v>
      </c>
      <c r="J1" t="s">
        <v>1399</v>
      </c>
      <c r="K1" t="s">
        <v>1266</v>
      </c>
      <c r="L1" t="s">
        <v>1267</v>
      </c>
      <c r="M1" t="s">
        <v>1403</v>
      </c>
      <c r="N1" t="s">
        <v>1404</v>
      </c>
      <c r="O1" t="s">
        <v>1268</v>
      </c>
      <c r="P1" t="s">
        <v>1419</v>
      </c>
      <c r="Q1" t="s">
        <v>1269</v>
      </c>
      <c r="R1" t="s">
        <v>1270</v>
      </c>
      <c r="S1" t="s">
        <v>1271</v>
      </c>
      <c r="T1" t="s">
        <v>1272</v>
      </c>
      <c r="U1" t="s">
        <v>1273</v>
      </c>
      <c r="V1" t="s">
        <v>1405</v>
      </c>
      <c r="W1" t="s">
        <v>1407</v>
      </c>
      <c r="X1" t="s">
        <v>1408</v>
      </c>
      <c r="Y1" t="s">
        <v>1409</v>
      </c>
      <c r="Z1" t="s">
        <v>1274</v>
      </c>
      <c r="AA1" t="s">
        <v>1275</v>
      </c>
      <c r="AB1" t="s">
        <v>1276</v>
      </c>
      <c r="AC1" t="s">
        <v>1277</v>
      </c>
      <c r="AD1" t="s">
        <v>1278</v>
      </c>
      <c r="AE1" t="s">
        <v>1279</v>
      </c>
      <c r="AF1" t="s">
        <v>1280</v>
      </c>
      <c r="AG1" t="s">
        <v>1281</v>
      </c>
      <c r="AH1" t="s">
        <v>1282</v>
      </c>
      <c r="AI1" t="s">
        <v>1283</v>
      </c>
      <c r="AJ1" t="s">
        <v>1284</v>
      </c>
      <c r="AK1" t="s">
        <v>1285</v>
      </c>
      <c r="AL1" t="s">
        <v>1286</v>
      </c>
      <c r="AM1" t="s">
        <v>1287</v>
      </c>
      <c r="AN1" t="s">
        <v>1288</v>
      </c>
      <c r="AO1" t="s">
        <v>1289</v>
      </c>
      <c r="AP1" t="s">
        <v>1290</v>
      </c>
      <c r="AQ1" t="s">
        <v>1291</v>
      </c>
      <c r="AR1" t="s">
        <v>1292</v>
      </c>
      <c r="AS1" t="s">
        <v>1293</v>
      </c>
      <c r="AT1" t="s">
        <v>1294</v>
      </c>
      <c r="AU1" t="s">
        <v>1295</v>
      </c>
      <c r="AV1" t="s">
        <v>1296</v>
      </c>
      <c r="AW1" t="s">
        <v>1297</v>
      </c>
      <c r="AX1" t="s">
        <v>1298</v>
      </c>
      <c r="AY1" t="s">
        <v>1299</v>
      </c>
      <c r="AZ1" t="s">
        <v>1300</v>
      </c>
      <c r="BA1" t="s">
        <v>1301</v>
      </c>
      <c r="BB1" t="s">
        <v>1302</v>
      </c>
      <c r="BC1" t="s">
        <v>1303</v>
      </c>
      <c r="BD1" t="s">
        <v>1304</v>
      </c>
      <c r="BE1" t="s">
        <v>1305</v>
      </c>
      <c r="BF1" t="s">
        <v>1388</v>
      </c>
      <c r="BG1" t="s">
        <v>1306</v>
      </c>
      <c r="BH1" t="s">
        <v>1307</v>
      </c>
      <c r="BI1" t="s">
        <v>1308</v>
      </c>
      <c r="BJ1" t="s">
        <v>1402</v>
      </c>
    </row>
    <row r="2" spans="1:62" x14ac:dyDescent="0.25">
      <c r="A2" t="s">
        <v>1417</v>
      </c>
      <c r="B2" t="s">
        <v>1418</v>
      </c>
      <c r="C2" t="s">
        <v>1413</v>
      </c>
      <c r="D2" t="s">
        <v>1393</v>
      </c>
      <c r="E2" t="s">
        <v>34</v>
      </c>
      <c r="F2" t="s">
        <v>1332</v>
      </c>
      <c r="G2">
        <v>3</v>
      </c>
      <c r="H2" s="631">
        <v>2101</v>
      </c>
      <c r="I2" s="631">
        <v>251</v>
      </c>
      <c r="J2" s="641">
        <v>1.1200000000000001</v>
      </c>
      <c r="K2" s="630">
        <v>1.08</v>
      </c>
      <c r="L2">
        <v>0</v>
      </c>
      <c r="M2" t="s">
        <v>873</v>
      </c>
      <c r="N2" t="s">
        <v>873</v>
      </c>
      <c r="O2" t="s">
        <v>42</v>
      </c>
      <c r="P2">
        <v>2007</v>
      </c>
      <c r="Q2" s="631">
        <v>15</v>
      </c>
      <c r="R2" t="s">
        <v>1401</v>
      </c>
      <c r="S2" t="s">
        <v>1400</v>
      </c>
      <c r="T2">
        <v>123456</v>
      </c>
      <c r="U2" t="s">
        <v>873</v>
      </c>
      <c r="V2" t="s">
        <v>873</v>
      </c>
      <c r="W2" t="s">
        <v>873</v>
      </c>
      <c r="X2" t="s">
        <v>873</v>
      </c>
      <c r="Y2" t="s">
        <v>873</v>
      </c>
      <c r="Z2" t="s">
        <v>873</v>
      </c>
      <c r="AA2" t="s">
        <v>873</v>
      </c>
      <c r="AB2">
        <v>2</v>
      </c>
      <c r="AC2">
        <v>2</v>
      </c>
      <c r="AD2">
        <v>11</v>
      </c>
      <c r="AE2">
        <v>12.5</v>
      </c>
      <c r="AF2">
        <v>12.5</v>
      </c>
      <c r="AG2">
        <v>1.0909090909090908</v>
      </c>
      <c r="AH2">
        <v>0.96</v>
      </c>
      <c r="AI2">
        <v>1.2121212121212122</v>
      </c>
      <c r="AJ2" t="s">
        <v>873</v>
      </c>
      <c r="AK2" t="s">
        <v>873</v>
      </c>
      <c r="AL2" t="s">
        <v>873</v>
      </c>
      <c r="AM2">
        <v>12</v>
      </c>
      <c r="AN2">
        <v>15</v>
      </c>
      <c r="AO2">
        <v>10.1</v>
      </c>
      <c r="AP2">
        <v>1</v>
      </c>
      <c r="AQ2">
        <v>0.8</v>
      </c>
      <c r="AR2">
        <v>1.1881188118811881</v>
      </c>
      <c r="AS2">
        <v>3.3</v>
      </c>
      <c r="AT2">
        <v>3.5</v>
      </c>
      <c r="AU2">
        <v>3.2</v>
      </c>
      <c r="AV2" t="s">
        <v>873</v>
      </c>
      <c r="AW2" t="s">
        <v>873</v>
      </c>
      <c r="AX2" t="s">
        <v>873</v>
      </c>
      <c r="AY2">
        <v>120000</v>
      </c>
      <c r="AZ2">
        <v>10</v>
      </c>
      <c r="BA2">
        <v>120000</v>
      </c>
      <c r="BB2">
        <v>10</v>
      </c>
      <c r="BC2">
        <v>130000</v>
      </c>
      <c r="BD2">
        <v>130000</v>
      </c>
      <c r="BE2" s="631">
        <v>15</v>
      </c>
      <c r="BF2">
        <v>3.5840000000000001</v>
      </c>
      <c r="BG2">
        <v>3.456</v>
      </c>
      <c r="BH2">
        <v>0</v>
      </c>
      <c r="BI2" s="631">
        <v>10566</v>
      </c>
      <c r="BJ2" s="421">
        <v>1782.7000000000003</v>
      </c>
    </row>
    <row r="3" spans="1:62" x14ac:dyDescent="0.25">
      <c r="H3" s="631"/>
      <c r="I3" s="631"/>
      <c r="J3" s="629"/>
      <c r="K3" s="630"/>
      <c r="N3" s="631"/>
      <c r="AX3" s="631"/>
      <c r="BB3" s="631"/>
      <c r="BC3" s="421"/>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pageSetUpPr fitToPage="1"/>
  </sheetPr>
  <dimension ref="A1:FJ70"/>
  <sheetViews>
    <sheetView zoomScale="85" zoomScaleNormal="85" zoomScaleSheetLayoutView="55" workbookViewId="0">
      <pane xSplit="3" ySplit="5" topLeftCell="D6" activePane="bottomRight" state="frozen"/>
      <selection pane="topRight" activeCell="D1" sqref="D1"/>
      <selection pane="bottomLeft" activeCell="A6" sqref="A6"/>
      <selection pane="bottomRight" activeCell="O30" sqref="O30"/>
    </sheetView>
  </sheetViews>
  <sheetFormatPr defaultRowHeight="15" customHeight="1" x14ac:dyDescent="0.25"/>
  <cols>
    <col min="1" max="1" width="17" customWidth="1"/>
    <col min="2" max="2" width="2.28515625" customWidth="1"/>
    <col min="3" max="3" width="12.28515625" customWidth="1"/>
    <col min="4" max="8" width="11.28515625" customWidth="1"/>
    <col min="9" max="9" width="11.7109375" customWidth="1"/>
    <col min="10" max="10" width="11.28515625" customWidth="1"/>
    <col min="11" max="23" width="12" customWidth="1"/>
    <col min="24" max="26" width="9.42578125" customWidth="1"/>
    <col min="27" max="35" width="12.42578125" customWidth="1"/>
    <col min="36" max="37" width="9.42578125" customWidth="1"/>
    <col min="38" max="38" width="11.5703125" customWidth="1"/>
    <col min="39" max="47" width="12.5703125" customWidth="1"/>
    <col min="48" max="49" width="9.42578125" customWidth="1"/>
    <col min="50" max="50" width="11.7109375" customWidth="1"/>
    <col min="51" max="59" width="10.5703125" customWidth="1"/>
    <col min="60" max="60" width="12.42578125" customWidth="1"/>
    <col min="61" max="61" width="12.140625" customWidth="1"/>
    <col min="62" max="62" width="11.140625" customWidth="1"/>
    <col min="63" max="67" width="12.28515625" customWidth="1"/>
    <col min="68" max="68" width="50.42578125" bestFit="1" customWidth="1"/>
    <col min="69" max="69" width="3.7109375" customWidth="1"/>
    <col min="70" max="70" width="14.5703125" customWidth="1"/>
    <col min="71" max="71" width="16" customWidth="1"/>
    <col min="72" max="75" width="12.5703125" customWidth="1"/>
    <col min="76" max="76" width="14" customWidth="1"/>
    <col min="77" max="77" width="15.7109375" customWidth="1"/>
    <col min="78" max="80" width="14.5703125" customWidth="1"/>
    <col min="81" max="99" width="12.5703125" customWidth="1"/>
    <col min="100" max="100" width="13.5703125" customWidth="1"/>
    <col min="101" max="101" width="11.5703125" customWidth="1"/>
    <col min="102" max="104" width="13.140625" customWidth="1"/>
    <col min="105" max="105" width="12.5703125" customWidth="1"/>
    <col min="106" max="106" width="13.5703125" customWidth="1"/>
    <col min="107" max="107" width="11.5703125" customWidth="1"/>
    <col min="108" max="110" width="13.140625" customWidth="1"/>
    <col min="111" max="117" width="12.5703125" customWidth="1"/>
    <col min="118" max="119" width="13.140625" customWidth="1"/>
    <col min="120" max="122" width="13.42578125" customWidth="1"/>
    <col min="123" max="123" width="12.5703125" customWidth="1"/>
    <col min="124" max="125" width="13.140625" customWidth="1"/>
    <col min="126" max="128" width="13.42578125" customWidth="1"/>
    <col min="129" max="135" width="12.5703125" customWidth="1"/>
    <col min="136" max="136" width="16.42578125" customWidth="1"/>
    <col min="137" max="137" width="14.28515625" customWidth="1"/>
    <col min="138" max="140" width="12.7109375" customWidth="1"/>
    <col min="141" max="141" width="12.5703125" customWidth="1"/>
    <col min="142" max="142" width="16.42578125" customWidth="1"/>
    <col min="143" max="143" width="14.28515625" customWidth="1"/>
    <col min="144" max="146" width="12.7109375" customWidth="1"/>
    <col min="147" max="153" width="12.5703125" customWidth="1"/>
    <col min="154" max="154" width="16.42578125" customWidth="1"/>
    <col min="155" max="155" width="14.28515625" customWidth="1"/>
    <col min="156" max="158" width="12.7109375" customWidth="1"/>
    <col min="159" max="159" width="12.5703125" customWidth="1"/>
    <col min="160" max="160" width="16.42578125" customWidth="1"/>
    <col min="161" max="161" width="14.28515625" customWidth="1"/>
    <col min="162" max="164" width="12.7109375" customWidth="1"/>
    <col min="165" max="165" width="12.5703125" customWidth="1"/>
    <col min="166" max="166" width="50.42578125" bestFit="1" customWidth="1"/>
  </cols>
  <sheetData>
    <row r="1" spans="1:166" ht="15" customHeight="1" x14ac:dyDescent="0.25">
      <c r="D1" s="661" t="s">
        <v>60</v>
      </c>
      <c r="E1" s="661"/>
      <c r="H1" s="661" t="s">
        <v>60</v>
      </c>
      <c r="I1" s="661"/>
      <c r="L1" s="662" t="s">
        <v>60</v>
      </c>
      <c r="M1" s="662"/>
      <c r="P1" s="662" t="s">
        <v>60</v>
      </c>
      <c r="Q1" s="662"/>
      <c r="T1" s="661" t="s">
        <v>60</v>
      </c>
      <c r="U1" s="661"/>
      <c r="X1" s="661" t="s">
        <v>60</v>
      </c>
      <c r="Y1" s="661"/>
      <c r="AB1" s="661" t="s">
        <v>60</v>
      </c>
      <c r="AC1" s="661"/>
      <c r="AF1" s="661" t="s">
        <v>60</v>
      </c>
      <c r="AG1" s="661"/>
      <c r="AJ1" s="661" t="s">
        <v>60</v>
      </c>
      <c r="AK1" s="661"/>
      <c r="AN1" s="661" t="s">
        <v>60</v>
      </c>
      <c r="AO1" s="661"/>
      <c r="AR1" s="661" t="s">
        <v>60</v>
      </c>
      <c r="AS1" s="661"/>
      <c r="AV1" s="661" t="s">
        <v>60</v>
      </c>
      <c r="AW1" s="661"/>
      <c r="AZ1" s="661" t="s">
        <v>60</v>
      </c>
      <c r="BA1" s="661"/>
      <c r="BD1" s="661" t="s">
        <v>60</v>
      </c>
      <c r="BE1" s="661"/>
      <c r="BH1" s="661" t="s">
        <v>60</v>
      </c>
      <c r="BI1" s="661"/>
      <c r="BL1" s="661" t="s">
        <v>60</v>
      </c>
      <c r="BM1" s="661"/>
      <c r="BR1" s="661" t="s">
        <v>61</v>
      </c>
      <c r="BS1" s="661"/>
      <c r="BX1" s="661" t="str">
        <f>$BR$1</f>
        <v>UnitaryHeatPump</v>
      </c>
      <c r="BY1" s="661"/>
      <c r="CD1" s="662" t="s">
        <v>61</v>
      </c>
      <c r="CE1" s="662"/>
      <c r="CJ1" s="662" t="str">
        <f>$BR$1</f>
        <v>UnitaryHeatPump</v>
      </c>
      <c r="CK1" s="662"/>
      <c r="CP1" s="661" t="str">
        <f>$BR$1</f>
        <v>UnitaryHeatPump</v>
      </c>
      <c r="CQ1" s="661"/>
      <c r="CV1" s="661" t="str">
        <f>$BR$1</f>
        <v>UnitaryHeatPump</v>
      </c>
      <c r="CW1" s="661"/>
      <c r="DB1" s="661" t="str">
        <f>$BR$1</f>
        <v>UnitaryHeatPump</v>
      </c>
      <c r="DC1" s="661"/>
      <c r="DH1" s="661" t="str">
        <f>$BR$1</f>
        <v>UnitaryHeatPump</v>
      </c>
      <c r="DI1" s="661"/>
      <c r="DN1" s="661" t="str">
        <f>$BR$1</f>
        <v>UnitaryHeatPump</v>
      </c>
      <c r="DO1" s="661"/>
      <c r="DT1" s="661" t="str">
        <f>$BR$1</f>
        <v>UnitaryHeatPump</v>
      </c>
      <c r="DU1" s="661"/>
      <c r="DZ1" s="661" t="str">
        <f>$BR$1</f>
        <v>UnitaryHeatPump</v>
      </c>
      <c r="EA1" s="661"/>
      <c r="EF1" s="661" t="str">
        <f>$BR$1</f>
        <v>UnitaryHeatPump</v>
      </c>
      <c r="EG1" s="661"/>
      <c r="EL1" s="661" t="str">
        <f>$BR$1</f>
        <v>UnitaryHeatPump</v>
      </c>
      <c r="ER1" s="661" t="str">
        <f>$BR$1</f>
        <v>UnitaryHeatPump</v>
      </c>
      <c r="ES1" s="661"/>
      <c r="EX1" s="661" t="str">
        <f>$BR$1</f>
        <v>UnitaryHeatPump</v>
      </c>
      <c r="FD1" s="661" t="str">
        <f>$BR$1</f>
        <v>UnitaryHeatPump</v>
      </c>
    </row>
    <row r="2" spans="1:166" ht="15" customHeight="1" x14ac:dyDescent="0.25">
      <c r="D2" t="s">
        <v>339</v>
      </c>
      <c r="H2" t="s">
        <v>340</v>
      </c>
      <c r="L2" t="s">
        <v>339</v>
      </c>
      <c r="P2" t="s">
        <v>340</v>
      </c>
      <c r="T2" t="s">
        <v>339</v>
      </c>
      <c r="X2" t="s">
        <v>367</v>
      </c>
      <c r="AB2" t="s">
        <v>324</v>
      </c>
      <c r="AJ2" t="s">
        <v>367</v>
      </c>
      <c r="AN2" t="s">
        <v>324</v>
      </c>
      <c r="AV2" t="s">
        <v>367</v>
      </c>
      <c r="AZ2" t="s">
        <v>324</v>
      </c>
      <c r="BH2" t="s">
        <v>367</v>
      </c>
      <c r="BL2" t="s">
        <v>324</v>
      </c>
      <c r="BR2" t="s">
        <v>339</v>
      </c>
      <c r="BX2" t="s">
        <v>340</v>
      </c>
      <c r="CD2" t="s">
        <v>339</v>
      </c>
      <c r="CJ2" t="s">
        <v>340</v>
      </c>
      <c r="CV2" t="s">
        <v>367</v>
      </c>
      <c r="DB2" t="s">
        <v>324</v>
      </c>
      <c r="DN2" t="s">
        <v>367</v>
      </c>
      <c r="DT2" t="s">
        <v>324</v>
      </c>
      <c r="EF2" t="s">
        <v>367</v>
      </c>
      <c r="EL2" t="s">
        <v>324</v>
      </c>
      <c r="EX2" t="s">
        <v>367</v>
      </c>
      <c r="FD2" t="s">
        <v>324</v>
      </c>
    </row>
    <row r="3" spans="1:166" ht="15" customHeight="1" x14ac:dyDescent="0.25">
      <c r="D3" t="s">
        <v>1420</v>
      </c>
      <c r="H3" t="s">
        <v>347</v>
      </c>
      <c r="L3" t="s">
        <v>1421</v>
      </c>
      <c r="P3" t="s">
        <v>1421</v>
      </c>
      <c r="T3" t="s">
        <v>359</v>
      </c>
      <c r="X3" t="s">
        <v>359</v>
      </c>
      <c r="AB3" t="s">
        <v>359</v>
      </c>
      <c r="AF3" t="s">
        <v>360</v>
      </c>
      <c r="AJ3" t="s">
        <v>360</v>
      </c>
      <c r="AN3" t="s">
        <v>360</v>
      </c>
      <c r="AR3" t="s">
        <v>361</v>
      </c>
      <c r="AV3" t="s">
        <v>361</v>
      </c>
      <c r="AZ3" t="s">
        <v>361</v>
      </c>
      <c r="BD3" t="s">
        <v>353</v>
      </c>
      <c r="BH3" t="s">
        <v>353</v>
      </c>
      <c r="BL3" t="s">
        <v>353</v>
      </c>
      <c r="BR3" t="s">
        <v>347</v>
      </c>
      <c r="BX3" t="s">
        <v>347</v>
      </c>
      <c r="BY3" t="s">
        <v>1499</v>
      </c>
      <c r="CD3" t="s">
        <v>1421</v>
      </c>
      <c r="CJ3" t="s">
        <v>1421</v>
      </c>
      <c r="CP3" t="s">
        <v>359</v>
      </c>
      <c r="CV3" t="s">
        <v>359</v>
      </c>
      <c r="DB3" t="s">
        <v>359</v>
      </c>
      <c r="DH3" t="s">
        <v>360</v>
      </c>
      <c r="DN3" t="s">
        <v>360</v>
      </c>
      <c r="DT3" t="s">
        <v>360</v>
      </c>
      <c r="DZ3" t="s">
        <v>361</v>
      </c>
      <c r="EF3" t="s">
        <v>361</v>
      </c>
      <c r="EL3" t="s">
        <v>361</v>
      </c>
      <c r="ER3" t="s">
        <v>353</v>
      </c>
      <c r="EX3" t="s">
        <v>353</v>
      </c>
      <c r="FD3" t="s">
        <v>353</v>
      </c>
    </row>
    <row r="4" spans="1:166" ht="15" customHeight="1" thickBot="1" x14ac:dyDescent="0.3">
      <c r="D4" t="str">
        <f t="shared" ref="D4" si="0">D1&amp;D2&amp;D3</f>
        <v>UnitaryAirConditionerSplitLessthan45kbtuh</v>
      </c>
      <c r="H4" t="str">
        <f t="shared" ref="H4" si="1">H1&amp;H2&amp;H3</f>
        <v>UnitaryAirConditionerPackagedLessthan65kbtuh</v>
      </c>
      <c r="L4" t="str">
        <f t="shared" ref="L4" si="2">L1&amp;L2&amp;L3</f>
        <v>UnitaryAirConditionerSplit45to65kbtuh</v>
      </c>
      <c r="P4" t="str">
        <f t="shared" ref="P4" si="3">P1&amp;P2&amp;P3</f>
        <v>UnitaryAirConditionerPackaged45to65kbtuh</v>
      </c>
      <c r="T4" t="str">
        <f t="shared" ref="T4" si="4">T1&amp;T2&amp;T3</f>
        <v>UnitaryAirConditionerSplit65to135kbtuh</v>
      </c>
      <c r="X4" t="str">
        <f t="shared" ref="X4" si="5">X1&amp;X2&amp;X3</f>
        <v>UnitaryAirConditionerElecResorNone65to135kbtuh</v>
      </c>
      <c r="AB4" t="str">
        <f t="shared" ref="AB4" si="6">AB1&amp;AB2&amp;AB3</f>
        <v>UnitaryAirConditionerOther65to135kbtuh</v>
      </c>
      <c r="AF4" t="str">
        <f t="shared" ref="AF4" si="7">AF1&amp;AF2&amp;AF3</f>
        <v>UnitaryAirConditioner135to240kbtuh</v>
      </c>
      <c r="AJ4" t="str">
        <f t="shared" ref="AJ4" si="8">AJ1&amp;AJ2&amp;AJ3</f>
        <v>UnitaryAirConditionerElecResorNone135to240kbtuh</v>
      </c>
      <c r="AN4" t="str">
        <f t="shared" ref="AN4" si="9">AN1&amp;AN2&amp;AN3</f>
        <v>UnitaryAirConditionerOther135to240kbtuh</v>
      </c>
      <c r="AR4" t="str">
        <f t="shared" ref="AR4" si="10">AR1&amp;AR2&amp;AR3</f>
        <v>UnitaryAirConditioner240to760kbtuh</v>
      </c>
      <c r="AV4" t="str">
        <f t="shared" ref="AV4" si="11">AV1&amp;AV2&amp;AV3</f>
        <v>UnitaryAirConditionerElecResorNone240to760kbtuh</v>
      </c>
      <c r="AZ4" t="str">
        <f t="shared" ref="AZ4" si="12">AZ1&amp;AZ2&amp;AZ3</f>
        <v>UnitaryAirConditionerOther240to760kbtuh</v>
      </c>
      <c r="BD4" t="str">
        <f t="shared" ref="BD4" si="13">BD1&amp;BD2&amp;BD3</f>
        <v>UnitaryAirConditionerGreaterthan760kbtuh</v>
      </c>
      <c r="BH4" t="str">
        <f t="shared" ref="BH4" si="14">BH1&amp;BH2&amp;BH3</f>
        <v>UnitaryAirConditionerElecResorNoneGreaterthan760kbtuh</v>
      </c>
      <c r="BL4" t="str">
        <f t="shared" ref="BL4" si="15">BL1&amp;BL2&amp;BL3</f>
        <v>UnitaryAirConditionerOtherGreaterthan760kbtuh</v>
      </c>
      <c r="BR4" t="str">
        <f>BR1&amp;BR2&amp;BR3</f>
        <v>UnitaryHeatPumpSplitLessthan65kbtuh</v>
      </c>
      <c r="BX4" t="str">
        <f t="shared" ref="BX4" si="16">BX1&amp;BX2&amp;BX3</f>
        <v>UnitaryHeatPumpPackagedLessthan65kbtuh</v>
      </c>
      <c r="CD4" t="str">
        <f>CD1&amp;CD2&amp;CD3</f>
        <v>UnitaryHeatPumpSplit45to65kbtuh</v>
      </c>
      <c r="CJ4" t="str">
        <f t="shared" ref="CJ4" si="17">CJ1&amp;CJ2&amp;CJ3</f>
        <v>UnitaryHeatPumpPackaged45to65kbtuh</v>
      </c>
      <c r="CP4" t="str">
        <f t="shared" ref="CP4" si="18">CP1&amp;CP2&amp;CP3</f>
        <v>UnitaryHeatPump65to135kbtuh</v>
      </c>
      <c r="CV4" t="str">
        <f t="shared" ref="CV4" si="19">CV1&amp;CV2&amp;CV3</f>
        <v>UnitaryHeatPumpElecResorNone65to135kbtuh</v>
      </c>
      <c r="DB4" t="str">
        <f t="shared" ref="DB4" si="20">DB1&amp;DB2&amp;DB3</f>
        <v>UnitaryHeatPumpOther65to135kbtuh</v>
      </c>
      <c r="DH4" t="str">
        <f t="shared" ref="DH4" si="21">DH1&amp;DH2&amp;DH3</f>
        <v>UnitaryHeatPump135to240kbtuh</v>
      </c>
      <c r="DN4" t="str">
        <f t="shared" ref="DN4" si="22">DN1&amp;DN2&amp;DN3</f>
        <v>UnitaryHeatPumpElecResorNone135to240kbtuh</v>
      </c>
      <c r="DT4" t="str">
        <f t="shared" ref="DT4" si="23">DT1&amp;DT2&amp;DT3</f>
        <v>UnitaryHeatPumpOther135to240kbtuh</v>
      </c>
      <c r="DZ4" t="str">
        <f t="shared" ref="DZ4" si="24">DZ1&amp;DZ2&amp;DZ3</f>
        <v>UnitaryHeatPump240to760kbtuh</v>
      </c>
      <c r="EF4" t="str">
        <f t="shared" ref="EF4" si="25">EF1&amp;EF2&amp;EF3</f>
        <v>UnitaryHeatPumpElecResorNone240to760kbtuh</v>
      </c>
      <c r="EL4" t="str">
        <f t="shared" ref="EL4" si="26">EL1&amp;EL2&amp;EL3</f>
        <v>UnitaryHeatPumpOther240to760kbtuh</v>
      </c>
      <c r="ER4" t="str">
        <f t="shared" ref="ER4" si="27">ER1&amp;ER2&amp;ER3</f>
        <v>UnitaryHeatPumpGreaterthan760kbtuh</v>
      </c>
      <c r="EX4" t="str">
        <f t="shared" ref="EX4" si="28">EX1&amp;EX2&amp;EX3</f>
        <v>UnitaryHeatPumpElecResorNoneGreaterthan760kbtuh</v>
      </c>
      <c r="FD4" t="str">
        <f t="shared" ref="FD4" si="29">FD1&amp;FD2&amp;FD3</f>
        <v>UnitaryHeatPumpOtherGreaterthan760kbtuh</v>
      </c>
    </row>
    <row r="5" spans="1:166" s="2" customFormat="1" ht="15" customHeight="1" x14ac:dyDescent="0.25">
      <c r="A5" s="80" t="s">
        <v>67</v>
      </c>
      <c r="B5" s="5"/>
      <c r="C5" s="211" t="s">
        <v>26</v>
      </c>
      <c r="D5" s="30" t="s">
        <v>1422</v>
      </c>
      <c r="E5" s="26" t="s">
        <v>1423</v>
      </c>
      <c r="F5" s="65" t="s">
        <v>45</v>
      </c>
      <c r="G5" s="66" t="s">
        <v>46</v>
      </c>
      <c r="H5" s="30" t="s">
        <v>1422</v>
      </c>
      <c r="I5" s="26" t="s">
        <v>1423</v>
      </c>
      <c r="J5" s="65" t="s">
        <v>45</v>
      </c>
      <c r="K5" s="66" t="s">
        <v>46</v>
      </c>
      <c r="L5" s="30" t="s">
        <v>1422</v>
      </c>
      <c r="M5" s="26" t="s">
        <v>1423</v>
      </c>
      <c r="N5" s="65" t="s">
        <v>45</v>
      </c>
      <c r="O5" s="66" t="s">
        <v>46</v>
      </c>
      <c r="P5" s="30" t="s">
        <v>1422</v>
      </c>
      <c r="Q5" s="26" t="s">
        <v>1423</v>
      </c>
      <c r="R5" s="65" t="s">
        <v>45</v>
      </c>
      <c r="S5" s="66" t="s">
        <v>46</v>
      </c>
      <c r="T5" s="24" t="s">
        <v>7</v>
      </c>
      <c r="U5" s="26" t="s">
        <v>723</v>
      </c>
      <c r="V5" s="65" t="s">
        <v>45</v>
      </c>
      <c r="W5" s="66" t="s">
        <v>46</v>
      </c>
      <c r="X5" s="24" t="s">
        <v>7</v>
      </c>
      <c r="Y5" s="26" t="s">
        <v>723</v>
      </c>
      <c r="Z5" s="65" t="s">
        <v>45</v>
      </c>
      <c r="AA5" s="66" t="s">
        <v>46</v>
      </c>
      <c r="AB5" s="24" t="s">
        <v>7</v>
      </c>
      <c r="AC5" s="26" t="s">
        <v>336</v>
      </c>
      <c r="AD5" s="65" t="s">
        <v>45</v>
      </c>
      <c r="AE5" s="66" t="s">
        <v>46</v>
      </c>
      <c r="AF5" s="24" t="s">
        <v>7</v>
      </c>
      <c r="AG5" s="26" t="s">
        <v>336</v>
      </c>
      <c r="AH5" s="65" t="s">
        <v>45</v>
      </c>
      <c r="AI5" s="66" t="s">
        <v>46</v>
      </c>
      <c r="AJ5" s="24" t="s">
        <v>7</v>
      </c>
      <c r="AK5" s="26" t="s">
        <v>336</v>
      </c>
      <c r="AL5" s="65" t="s">
        <v>45</v>
      </c>
      <c r="AM5" s="66" t="s">
        <v>46</v>
      </c>
      <c r="AN5" s="24" t="s">
        <v>7</v>
      </c>
      <c r="AO5" s="26" t="s">
        <v>336</v>
      </c>
      <c r="AP5" s="65" t="s">
        <v>45</v>
      </c>
      <c r="AQ5" s="66" t="s">
        <v>46</v>
      </c>
      <c r="AR5" s="24" t="s">
        <v>7</v>
      </c>
      <c r="AS5" s="26" t="s">
        <v>336</v>
      </c>
      <c r="AT5" s="65" t="s">
        <v>45</v>
      </c>
      <c r="AU5" s="66" t="s">
        <v>46</v>
      </c>
      <c r="AV5" s="24" t="s">
        <v>7</v>
      </c>
      <c r="AW5" s="26" t="s">
        <v>336</v>
      </c>
      <c r="AX5" s="65" t="s">
        <v>45</v>
      </c>
      <c r="AY5" s="66" t="s">
        <v>46</v>
      </c>
      <c r="AZ5" s="24" t="s">
        <v>7</v>
      </c>
      <c r="BA5" s="26" t="s">
        <v>336</v>
      </c>
      <c r="BB5" s="65" t="s">
        <v>45</v>
      </c>
      <c r="BC5" s="66" t="s">
        <v>46</v>
      </c>
      <c r="BD5" s="24" t="s">
        <v>7</v>
      </c>
      <c r="BE5" s="26" t="s">
        <v>336</v>
      </c>
      <c r="BF5" s="65" t="s">
        <v>45</v>
      </c>
      <c r="BG5" s="66" t="s">
        <v>46</v>
      </c>
      <c r="BH5" s="24" t="s">
        <v>7</v>
      </c>
      <c r="BI5" s="26" t="s">
        <v>336</v>
      </c>
      <c r="BJ5" s="65" t="s">
        <v>45</v>
      </c>
      <c r="BK5" s="66" t="s">
        <v>46</v>
      </c>
      <c r="BL5" s="24" t="s">
        <v>7</v>
      </c>
      <c r="BM5" s="26" t="s">
        <v>336</v>
      </c>
      <c r="BN5" s="65" t="s">
        <v>45</v>
      </c>
      <c r="BO5" s="66" t="s">
        <v>46</v>
      </c>
      <c r="BP5" s="210" t="s">
        <v>0</v>
      </c>
      <c r="BQ5" s="5"/>
      <c r="BR5" s="24" t="s">
        <v>1422</v>
      </c>
      <c r="BS5" s="25" t="s">
        <v>1423</v>
      </c>
      <c r="BT5" s="93" t="s">
        <v>1424</v>
      </c>
      <c r="BU5" s="65" t="s">
        <v>45</v>
      </c>
      <c r="BV5" s="97" t="s">
        <v>46</v>
      </c>
      <c r="BW5" s="66" t="s">
        <v>75</v>
      </c>
      <c r="BX5" s="24" t="s">
        <v>1422</v>
      </c>
      <c r="BY5" s="25" t="s">
        <v>1423</v>
      </c>
      <c r="BZ5" s="26" t="s">
        <v>1424</v>
      </c>
      <c r="CA5" s="65" t="s">
        <v>45</v>
      </c>
      <c r="CB5" s="97" t="s">
        <v>46</v>
      </c>
      <c r="CC5" s="66" t="s">
        <v>75</v>
      </c>
      <c r="CD5" s="24" t="s">
        <v>1422</v>
      </c>
      <c r="CE5" s="25" t="s">
        <v>1423</v>
      </c>
      <c r="CF5" s="93" t="s">
        <v>1424</v>
      </c>
      <c r="CG5" s="65" t="s">
        <v>45</v>
      </c>
      <c r="CH5" s="97" t="s">
        <v>46</v>
      </c>
      <c r="CI5" s="66" t="s">
        <v>75</v>
      </c>
      <c r="CJ5" s="24" t="s">
        <v>1422</v>
      </c>
      <c r="CK5" s="25" t="s">
        <v>1423</v>
      </c>
      <c r="CL5" s="26" t="s">
        <v>1424</v>
      </c>
      <c r="CM5" s="65" t="s">
        <v>45</v>
      </c>
      <c r="CN5" s="97" t="s">
        <v>46</v>
      </c>
      <c r="CO5" s="66" t="s">
        <v>75</v>
      </c>
      <c r="CP5" s="24" t="s">
        <v>7</v>
      </c>
      <c r="CQ5" s="26" t="s">
        <v>723</v>
      </c>
      <c r="CR5" s="26" t="s">
        <v>28</v>
      </c>
      <c r="CS5" s="65" t="s">
        <v>45</v>
      </c>
      <c r="CT5" s="97" t="s">
        <v>46</v>
      </c>
      <c r="CU5" s="66" t="s">
        <v>75</v>
      </c>
      <c r="CV5" s="24" t="s">
        <v>7</v>
      </c>
      <c r="CW5" s="26" t="s">
        <v>723</v>
      </c>
      <c r="CX5" s="26" t="s">
        <v>28</v>
      </c>
      <c r="CY5" s="65" t="s">
        <v>45</v>
      </c>
      <c r="CZ5" s="97" t="s">
        <v>46</v>
      </c>
      <c r="DA5" s="66" t="s">
        <v>75</v>
      </c>
      <c r="DB5" s="24" t="s">
        <v>7</v>
      </c>
      <c r="DC5" s="26" t="s">
        <v>336</v>
      </c>
      <c r="DD5" s="26" t="s">
        <v>28</v>
      </c>
      <c r="DE5" s="65" t="s">
        <v>45</v>
      </c>
      <c r="DF5" s="97" t="s">
        <v>46</v>
      </c>
      <c r="DG5" s="66" t="s">
        <v>75</v>
      </c>
      <c r="DH5" s="24" t="s">
        <v>7</v>
      </c>
      <c r="DI5" s="26" t="s">
        <v>336</v>
      </c>
      <c r="DJ5" s="26" t="s">
        <v>28</v>
      </c>
      <c r="DK5" s="65" t="s">
        <v>45</v>
      </c>
      <c r="DL5" s="97" t="s">
        <v>46</v>
      </c>
      <c r="DM5" s="66" t="s">
        <v>75</v>
      </c>
      <c r="DN5" s="24" t="s">
        <v>7</v>
      </c>
      <c r="DO5" s="26" t="s">
        <v>336</v>
      </c>
      <c r="DP5" s="26" t="s">
        <v>28</v>
      </c>
      <c r="DQ5" s="65" t="s">
        <v>45</v>
      </c>
      <c r="DR5" s="97" t="s">
        <v>46</v>
      </c>
      <c r="DS5" s="66" t="s">
        <v>75</v>
      </c>
      <c r="DT5" s="24" t="s">
        <v>7</v>
      </c>
      <c r="DU5" s="26" t="s">
        <v>336</v>
      </c>
      <c r="DV5" s="26" t="s">
        <v>28</v>
      </c>
      <c r="DW5" s="65" t="s">
        <v>45</v>
      </c>
      <c r="DX5" s="97" t="s">
        <v>46</v>
      </c>
      <c r="DY5" s="66" t="s">
        <v>75</v>
      </c>
      <c r="DZ5" s="24" t="s">
        <v>7</v>
      </c>
      <c r="EA5" s="26" t="s">
        <v>336</v>
      </c>
      <c r="EB5" s="26" t="s">
        <v>28</v>
      </c>
      <c r="EC5" s="65" t="s">
        <v>45</v>
      </c>
      <c r="ED5" s="97" t="s">
        <v>46</v>
      </c>
      <c r="EE5" s="66" t="s">
        <v>75</v>
      </c>
      <c r="EF5" s="24" t="s">
        <v>7</v>
      </c>
      <c r="EG5" s="26" t="s">
        <v>336</v>
      </c>
      <c r="EH5" s="26" t="s">
        <v>28</v>
      </c>
      <c r="EI5" s="65" t="s">
        <v>45</v>
      </c>
      <c r="EJ5" s="97" t="s">
        <v>46</v>
      </c>
      <c r="EK5" s="66" t="s">
        <v>75</v>
      </c>
      <c r="EL5" s="24" t="s">
        <v>7</v>
      </c>
      <c r="EM5" s="26" t="s">
        <v>336</v>
      </c>
      <c r="EN5" s="26" t="s">
        <v>28</v>
      </c>
      <c r="EO5" s="65" t="s">
        <v>45</v>
      </c>
      <c r="EP5" s="97" t="s">
        <v>46</v>
      </c>
      <c r="EQ5" s="66" t="s">
        <v>75</v>
      </c>
      <c r="ER5" s="24" t="s">
        <v>7</v>
      </c>
      <c r="ES5" s="26" t="s">
        <v>336</v>
      </c>
      <c r="ET5" s="26" t="s">
        <v>28</v>
      </c>
      <c r="EU5" s="65" t="s">
        <v>45</v>
      </c>
      <c r="EV5" s="97" t="s">
        <v>46</v>
      </c>
      <c r="EW5" s="66" t="s">
        <v>75</v>
      </c>
      <c r="EX5" s="24" t="s">
        <v>7</v>
      </c>
      <c r="EY5" s="26" t="s">
        <v>336</v>
      </c>
      <c r="EZ5" s="26" t="s">
        <v>28</v>
      </c>
      <c r="FA5" s="65" t="s">
        <v>45</v>
      </c>
      <c r="FB5" s="97" t="s">
        <v>46</v>
      </c>
      <c r="FC5" s="66" t="s">
        <v>75</v>
      </c>
      <c r="FD5" s="24" t="s">
        <v>7</v>
      </c>
      <c r="FE5" s="26" t="s">
        <v>336</v>
      </c>
      <c r="FF5" s="26" t="s">
        <v>28</v>
      </c>
      <c r="FG5" s="65" t="s">
        <v>45</v>
      </c>
      <c r="FH5" s="97" t="s">
        <v>46</v>
      </c>
      <c r="FI5" s="66" t="s">
        <v>75</v>
      </c>
      <c r="FJ5" s="210" t="s">
        <v>0</v>
      </c>
    </row>
    <row r="6" spans="1:166" ht="15" customHeight="1" x14ac:dyDescent="0.25">
      <c r="A6" s="82">
        <v>1997</v>
      </c>
      <c r="B6" s="1"/>
      <c r="C6" s="26" cm="1">
        <f t="array" ref="C6:C36">BaselineRow</f>
        <v>1997</v>
      </c>
      <c r="D6" s="23">
        <v>7.8</v>
      </c>
      <c r="E6" s="9">
        <v>9.5</v>
      </c>
      <c r="F6" s="83">
        <f t="shared" ref="F6:F32" si="30">12/D6</f>
        <v>1.5384615384615385</v>
      </c>
      <c r="G6" s="84">
        <f t="shared" ref="G6:G32" si="31">12/E6</f>
        <v>1.263157894736842</v>
      </c>
      <c r="H6" s="11">
        <v>7.5</v>
      </c>
      <c r="I6" s="9">
        <v>9.1999999999999993</v>
      </c>
      <c r="J6" s="83">
        <f t="shared" ref="J6:J32" si="32">12/H6</f>
        <v>1.6</v>
      </c>
      <c r="K6" s="84">
        <f t="shared" ref="K6:K32" si="33">12/I6</f>
        <v>1.3043478260869565</v>
      </c>
      <c r="L6" s="23">
        <v>7.8</v>
      </c>
      <c r="M6" s="9">
        <v>9.5</v>
      </c>
      <c r="N6" s="83">
        <f t="shared" ref="N6:N36" si="34">12/L6</f>
        <v>1.5384615384615385</v>
      </c>
      <c r="O6" s="84">
        <f t="shared" ref="O6:O36" si="35">12/M6</f>
        <v>1.263157894736842</v>
      </c>
      <c r="P6" s="11">
        <v>7.5</v>
      </c>
      <c r="Q6" s="9">
        <v>9.1999999999999993</v>
      </c>
      <c r="R6" s="83">
        <f t="shared" ref="R6:R36" si="36">12/P6</f>
        <v>1.6</v>
      </c>
      <c r="S6" s="84">
        <f t="shared" ref="S6:S36" si="37">12/Q6</f>
        <v>1.3043478260869565</v>
      </c>
      <c r="T6" s="664">
        <v>8.9</v>
      </c>
      <c r="U6" s="665">
        <v>9.1</v>
      </c>
      <c r="V6" s="83">
        <f t="shared" ref="V6:V32" si="38">12/T6</f>
        <v>1.348314606741573</v>
      </c>
      <c r="W6" s="84">
        <f t="shared" ref="W6:W32" si="39">12/U6</f>
        <v>1.3186813186813187</v>
      </c>
      <c r="X6" s="10"/>
      <c r="Y6" s="9"/>
      <c r="Z6" s="83"/>
      <c r="AA6" s="84"/>
      <c r="AB6" s="10"/>
      <c r="AC6" s="9"/>
      <c r="AD6" s="83"/>
      <c r="AE6" s="84"/>
      <c r="AF6" s="10">
        <v>8.3000000000000007</v>
      </c>
      <c r="AG6" s="9">
        <v>8.5</v>
      </c>
      <c r="AH6" s="65">
        <f t="shared" ref="AH6:AH32" si="40">12/AF6</f>
        <v>1.4457831325301203</v>
      </c>
      <c r="AI6" s="66">
        <f t="shared" ref="AI6:AI32" si="41">12/AG6</f>
        <v>1.411764705882353</v>
      </c>
      <c r="AJ6" s="10"/>
      <c r="AK6" s="9"/>
      <c r="AL6" s="65"/>
      <c r="AM6" s="66"/>
      <c r="AN6" s="426"/>
      <c r="AO6" s="427"/>
      <c r="AP6" s="65"/>
      <c r="AQ6" s="66"/>
      <c r="AR6" s="10">
        <v>8.3000000000000007</v>
      </c>
      <c r="AS6" s="9">
        <v>8.4</v>
      </c>
      <c r="AT6" s="65">
        <f t="shared" ref="AT6:AT32" si="42">12/AR6</f>
        <v>1.4457831325301203</v>
      </c>
      <c r="AU6" s="66">
        <f t="shared" ref="AU6:AU32" si="43">12/AS6</f>
        <v>1.4285714285714286</v>
      </c>
      <c r="AV6" s="10"/>
      <c r="AW6" s="9"/>
      <c r="AX6" s="65"/>
      <c r="AY6" s="66"/>
      <c r="AZ6" s="426"/>
      <c r="BA6" s="427"/>
      <c r="BB6" s="65"/>
      <c r="BC6" s="66"/>
      <c r="BD6" s="10">
        <v>8</v>
      </c>
      <c r="BE6" s="9">
        <v>8.1</v>
      </c>
      <c r="BF6" s="65">
        <f t="shared" ref="BF6:BF32" si="44">12/BD6</f>
        <v>1.5</v>
      </c>
      <c r="BG6" s="66">
        <f t="shared" ref="BG6:BG32" si="45">12/BE6</f>
        <v>1.4814814814814816</v>
      </c>
      <c r="BH6" s="10"/>
      <c r="BI6" s="9"/>
      <c r="BJ6" s="65"/>
      <c r="BK6" s="66"/>
      <c r="BL6" s="428"/>
      <c r="BM6" s="427"/>
      <c r="BN6" s="65"/>
      <c r="BO6" s="66"/>
      <c r="BP6" s="12" t="s">
        <v>2</v>
      </c>
      <c r="BQ6" s="1"/>
      <c r="BR6" s="27">
        <v>7.8</v>
      </c>
      <c r="BS6" s="7">
        <v>9.5</v>
      </c>
      <c r="BT6" s="94">
        <v>5.7</v>
      </c>
      <c r="BU6" s="83">
        <f t="shared" ref="BU6:BU32" si="46">12/BR6</f>
        <v>1.5384615384615385</v>
      </c>
      <c r="BV6" s="98">
        <f t="shared" ref="BV6:BV32" si="47">12/BS6</f>
        <v>1.263157894736842</v>
      </c>
      <c r="BW6" s="84">
        <f t="shared" ref="BW6:BW32" si="48">12/BT6</f>
        <v>2.1052631578947367</v>
      </c>
      <c r="BX6" s="96">
        <v>7.5</v>
      </c>
      <c r="BY6" s="7">
        <v>9.1999999999999993</v>
      </c>
      <c r="BZ6" s="9">
        <v>5.6</v>
      </c>
      <c r="CA6" s="83">
        <f t="shared" ref="CA6:CA32" si="49">12/BX6</f>
        <v>1.6</v>
      </c>
      <c r="CB6" s="98">
        <f t="shared" ref="CB6:CB32" si="50">12/BY6</f>
        <v>1.3043478260869565</v>
      </c>
      <c r="CC6" s="84">
        <f t="shared" ref="CC6:CC32" si="51">12/BZ6</f>
        <v>2.1428571428571428</v>
      </c>
      <c r="CD6" s="27">
        <v>7.8</v>
      </c>
      <c r="CE6" s="7">
        <v>9.5</v>
      </c>
      <c r="CF6" s="94">
        <v>5.7</v>
      </c>
      <c r="CG6" s="83">
        <f t="shared" ref="CG6:CG36" si="52">12/CD6</f>
        <v>1.5384615384615385</v>
      </c>
      <c r="CH6" s="98">
        <f t="shared" ref="CH6:CH36" si="53">12/CE6</f>
        <v>1.263157894736842</v>
      </c>
      <c r="CI6" s="84">
        <f t="shared" ref="CI6:CI36" si="54">12/CF6</f>
        <v>2.1052631578947367</v>
      </c>
      <c r="CJ6" s="96">
        <v>7.5</v>
      </c>
      <c r="CK6" s="7">
        <v>9.1999999999999993</v>
      </c>
      <c r="CL6" s="9">
        <v>5.6</v>
      </c>
      <c r="CM6" s="83">
        <f t="shared" ref="CM6:CM36" si="55">12/CJ6</f>
        <v>1.6</v>
      </c>
      <c r="CN6" s="98">
        <f t="shared" ref="CN6:CN36" si="56">12/CK6</f>
        <v>1.3043478260869565</v>
      </c>
      <c r="CO6" s="84">
        <f t="shared" ref="CO6:CO36" si="57">12/CL6</f>
        <v>2.1428571428571428</v>
      </c>
      <c r="CP6" s="10">
        <v>8.9</v>
      </c>
      <c r="CQ6" s="7">
        <v>9.1</v>
      </c>
      <c r="CR6" s="9">
        <v>3</v>
      </c>
      <c r="CS6" s="83">
        <f t="shared" ref="CS6:CS32" si="58">12/CP6</f>
        <v>1.348314606741573</v>
      </c>
      <c r="CT6" s="98">
        <f t="shared" ref="CT6:CT32" si="59">12/CQ6</f>
        <v>1.3186813186813187</v>
      </c>
      <c r="CU6" s="84">
        <f t="shared" ref="CU6:CU32" si="60">12/3.412/CR6</f>
        <v>1.1723329425556859</v>
      </c>
      <c r="CV6" s="10"/>
      <c r="CW6" s="7"/>
      <c r="CX6" s="9"/>
      <c r="CY6" s="83"/>
      <c r="CZ6" s="98"/>
      <c r="DA6" s="84"/>
      <c r="DB6" s="426"/>
      <c r="DC6" s="429"/>
      <c r="DD6" s="427"/>
      <c r="DE6" s="83"/>
      <c r="DF6" s="98"/>
      <c r="DG6" s="84"/>
      <c r="DH6" s="10">
        <v>8.3000000000000007</v>
      </c>
      <c r="DI6" s="7">
        <v>8.5</v>
      </c>
      <c r="DJ6" s="9">
        <v>3</v>
      </c>
      <c r="DK6" s="83">
        <f t="shared" ref="DK6:DK32" si="61">12/DH6</f>
        <v>1.4457831325301203</v>
      </c>
      <c r="DL6" s="98">
        <f t="shared" ref="DL6:DL32" si="62">12/DI6</f>
        <v>1.411764705882353</v>
      </c>
      <c r="DM6" s="84">
        <f t="shared" ref="DM6:DM32" si="63">12/3.412/DJ6</f>
        <v>1.1723329425556859</v>
      </c>
      <c r="DN6" s="10"/>
      <c r="DO6" s="7"/>
      <c r="DP6" s="9"/>
      <c r="DQ6" s="83"/>
      <c r="DR6" s="98"/>
      <c r="DS6" s="84"/>
      <c r="DT6" s="426"/>
      <c r="DU6" s="429"/>
      <c r="DV6" s="427"/>
      <c r="DW6" s="83"/>
      <c r="DX6" s="98"/>
      <c r="DY6" s="84"/>
      <c r="DZ6" s="10">
        <v>8.3000000000000007</v>
      </c>
      <c r="EA6" s="7">
        <v>8.4</v>
      </c>
      <c r="EB6" s="9">
        <v>3</v>
      </c>
      <c r="EC6" s="83">
        <f t="shared" ref="EC6:EC32" si="64">12/DZ6</f>
        <v>1.4457831325301203</v>
      </c>
      <c r="ED6" s="98">
        <f t="shared" ref="ED6:ED32" si="65">12/EA6</f>
        <v>1.4285714285714286</v>
      </c>
      <c r="EE6" s="84">
        <f t="shared" ref="EE6:EE32" si="66">12/3.412/EB6</f>
        <v>1.1723329425556859</v>
      </c>
      <c r="EF6" s="10"/>
      <c r="EG6" s="7"/>
      <c r="EH6" s="9"/>
      <c r="EI6" s="83"/>
      <c r="EJ6" s="98"/>
      <c r="EK6" s="84"/>
      <c r="EL6" s="426"/>
      <c r="EM6" s="429"/>
      <c r="EN6" s="427"/>
      <c r="EO6" s="83"/>
      <c r="EP6" s="98"/>
      <c r="EQ6" s="84"/>
      <c r="ER6" s="10">
        <v>8.5</v>
      </c>
      <c r="ES6" s="7">
        <v>8.6</v>
      </c>
      <c r="ET6" s="9">
        <v>3</v>
      </c>
      <c r="EU6" s="83">
        <f t="shared" ref="EU6:EU32" si="67">12/ER6</f>
        <v>1.411764705882353</v>
      </c>
      <c r="EV6" s="98">
        <f t="shared" ref="EV6:EV32" si="68">12/ES6</f>
        <v>1.3953488372093024</v>
      </c>
      <c r="EW6" s="84">
        <f t="shared" ref="EW6:EW32" si="69">12/3.412/ET6</f>
        <v>1.1723329425556859</v>
      </c>
      <c r="EX6" s="10"/>
      <c r="EY6" s="7"/>
      <c r="EZ6" s="9"/>
      <c r="FA6" s="83"/>
      <c r="FB6" s="98"/>
      <c r="FC6" s="84"/>
      <c r="FD6" s="426"/>
      <c r="FE6" s="429"/>
      <c r="FF6" s="427"/>
      <c r="FG6" s="83"/>
      <c r="FH6" s="98"/>
      <c r="FI6" s="84"/>
      <c r="FJ6" s="12" t="s">
        <v>2</v>
      </c>
    </row>
    <row r="7" spans="1:166" ht="15" customHeight="1" x14ac:dyDescent="0.25">
      <c r="A7" s="82">
        <v>1998</v>
      </c>
      <c r="B7" s="1"/>
      <c r="C7" s="26">
        <v>1998</v>
      </c>
      <c r="D7" s="23">
        <v>7.8</v>
      </c>
      <c r="E7" s="9">
        <v>9.5</v>
      </c>
      <c r="F7" s="83">
        <f t="shared" si="30"/>
        <v>1.5384615384615385</v>
      </c>
      <c r="G7" s="84">
        <f t="shared" si="31"/>
        <v>1.263157894736842</v>
      </c>
      <c r="H7" s="11">
        <v>7.5</v>
      </c>
      <c r="I7" s="9">
        <v>9.1999999999999993</v>
      </c>
      <c r="J7" s="83">
        <f t="shared" si="32"/>
        <v>1.6</v>
      </c>
      <c r="K7" s="84">
        <f t="shared" si="33"/>
        <v>1.3043478260869565</v>
      </c>
      <c r="L7" s="23">
        <v>7.8</v>
      </c>
      <c r="M7" s="9">
        <v>9.5</v>
      </c>
      <c r="N7" s="83">
        <f t="shared" si="34"/>
        <v>1.5384615384615385</v>
      </c>
      <c r="O7" s="84">
        <f t="shared" si="35"/>
        <v>1.263157894736842</v>
      </c>
      <c r="P7" s="11">
        <v>7.5</v>
      </c>
      <c r="Q7" s="9">
        <v>9.1999999999999993</v>
      </c>
      <c r="R7" s="83">
        <f t="shared" si="36"/>
        <v>1.6</v>
      </c>
      <c r="S7" s="84">
        <f t="shared" si="37"/>
        <v>1.3043478260869565</v>
      </c>
      <c r="T7" s="664">
        <v>8.9</v>
      </c>
      <c r="U7" s="665">
        <v>9.1</v>
      </c>
      <c r="V7" s="83">
        <f t="shared" si="38"/>
        <v>1.348314606741573</v>
      </c>
      <c r="W7" s="84">
        <f t="shared" si="39"/>
        <v>1.3186813186813187</v>
      </c>
      <c r="X7" s="10"/>
      <c r="Y7" s="9"/>
      <c r="Z7" s="83"/>
      <c r="AA7" s="84"/>
      <c r="AB7" s="10"/>
      <c r="AC7" s="9"/>
      <c r="AD7" s="83"/>
      <c r="AE7" s="84"/>
      <c r="AF7" s="10">
        <v>8.3000000000000007</v>
      </c>
      <c r="AG7" s="9">
        <v>8.5</v>
      </c>
      <c r="AH7" s="65">
        <f t="shared" si="40"/>
        <v>1.4457831325301203</v>
      </c>
      <c r="AI7" s="66">
        <f t="shared" si="41"/>
        <v>1.411764705882353</v>
      </c>
      <c r="AJ7" s="10"/>
      <c r="AK7" s="9"/>
      <c r="AL7" s="65"/>
      <c r="AM7" s="66"/>
      <c r="AN7" s="426"/>
      <c r="AO7" s="427"/>
      <c r="AP7" s="65"/>
      <c r="AQ7" s="66"/>
      <c r="AR7" s="10">
        <v>8.3000000000000007</v>
      </c>
      <c r="AS7" s="9">
        <v>8.4</v>
      </c>
      <c r="AT7" s="65">
        <f t="shared" si="42"/>
        <v>1.4457831325301203</v>
      </c>
      <c r="AU7" s="66">
        <f t="shared" si="43"/>
        <v>1.4285714285714286</v>
      </c>
      <c r="AV7" s="10"/>
      <c r="AW7" s="9"/>
      <c r="AX7" s="65"/>
      <c r="AY7" s="66"/>
      <c r="AZ7" s="426"/>
      <c r="BA7" s="427"/>
      <c r="BB7" s="65"/>
      <c r="BC7" s="66"/>
      <c r="BD7" s="10">
        <v>8</v>
      </c>
      <c r="BE7" s="9">
        <v>8.1</v>
      </c>
      <c r="BF7" s="65">
        <f t="shared" si="44"/>
        <v>1.5</v>
      </c>
      <c r="BG7" s="66">
        <f t="shared" si="45"/>
        <v>1.4814814814814816</v>
      </c>
      <c r="BH7" s="10"/>
      <c r="BI7" s="9"/>
      <c r="BJ7" s="65"/>
      <c r="BK7" s="66"/>
      <c r="BL7" s="428"/>
      <c r="BM7" s="427"/>
      <c r="BN7" s="65"/>
      <c r="BO7" s="66"/>
      <c r="BP7" s="12" t="s">
        <v>2</v>
      </c>
      <c r="BQ7" s="1"/>
      <c r="BR7" s="27">
        <v>7.8</v>
      </c>
      <c r="BS7" s="7">
        <v>9.5</v>
      </c>
      <c r="BT7" s="94">
        <v>5.7</v>
      </c>
      <c r="BU7" s="83">
        <f t="shared" si="46"/>
        <v>1.5384615384615385</v>
      </c>
      <c r="BV7" s="98">
        <f t="shared" si="47"/>
        <v>1.263157894736842</v>
      </c>
      <c r="BW7" s="84">
        <f t="shared" si="48"/>
        <v>2.1052631578947367</v>
      </c>
      <c r="BX7" s="96">
        <v>7.5</v>
      </c>
      <c r="BY7" s="7">
        <v>9.1999999999999993</v>
      </c>
      <c r="BZ7" s="9">
        <v>5.6</v>
      </c>
      <c r="CA7" s="83">
        <f t="shared" si="49"/>
        <v>1.6</v>
      </c>
      <c r="CB7" s="98">
        <f t="shared" si="50"/>
        <v>1.3043478260869565</v>
      </c>
      <c r="CC7" s="84">
        <f t="shared" si="51"/>
        <v>2.1428571428571428</v>
      </c>
      <c r="CD7" s="27">
        <v>7.8</v>
      </c>
      <c r="CE7" s="7">
        <v>9.5</v>
      </c>
      <c r="CF7" s="94">
        <v>5.7</v>
      </c>
      <c r="CG7" s="83">
        <f t="shared" si="52"/>
        <v>1.5384615384615385</v>
      </c>
      <c r="CH7" s="98">
        <f t="shared" si="53"/>
        <v>1.263157894736842</v>
      </c>
      <c r="CI7" s="84">
        <f t="shared" si="54"/>
        <v>2.1052631578947367</v>
      </c>
      <c r="CJ7" s="96">
        <v>7.5</v>
      </c>
      <c r="CK7" s="7">
        <v>9.1999999999999993</v>
      </c>
      <c r="CL7" s="9">
        <v>5.6</v>
      </c>
      <c r="CM7" s="83">
        <f t="shared" si="55"/>
        <v>1.6</v>
      </c>
      <c r="CN7" s="98">
        <f t="shared" si="56"/>
        <v>1.3043478260869565</v>
      </c>
      <c r="CO7" s="84">
        <f t="shared" si="57"/>
        <v>2.1428571428571428</v>
      </c>
      <c r="CP7" s="10">
        <v>8.9</v>
      </c>
      <c r="CQ7" s="7">
        <v>9.1</v>
      </c>
      <c r="CR7" s="9">
        <v>3</v>
      </c>
      <c r="CS7" s="83">
        <f t="shared" si="58"/>
        <v>1.348314606741573</v>
      </c>
      <c r="CT7" s="98">
        <f t="shared" si="59"/>
        <v>1.3186813186813187</v>
      </c>
      <c r="CU7" s="84">
        <f t="shared" si="60"/>
        <v>1.1723329425556859</v>
      </c>
      <c r="CV7" s="10"/>
      <c r="CW7" s="7"/>
      <c r="CX7" s="9"/>
      <c r="CY7" s="83"/>
      <c r="CZ7" s="98"/>
      <c r="DA7" s="84"/>
      <c r="DB7" s="426"/>
      <c r="DC7" s="429"/>
      <c r="DD7" s="427"/>
      <c r="DE7" s="83"/>
      <c r="DF7" s="98"/>
      <c r="DG7" s="84"/>
      <c r="DH7" s="10">
        <v>8.3000000000000007</v>
      </c>
      <c r="DI7" s="7">
        <v>8.5</v>
      </c>
      <c r="DJ7" s="9">
        <v>3</v>
      </c>
      <c r="DK7" s="83">
        <f t="shared" si="61"/>
        <v>1.4457831325301203</v>
      </c>
      <c r="DL7" s="98">
        <f t="shared" si="62"/>
        <v>1.411764705882353</v>
      </c>
      <c r="DM7" s="84">
        <f t="shared" si="63"/>
        <v>1.1723329425556859</v>
      </c>
      <c r="DN7" s="10"/>
      <c r="DO7" s="7"/>
      <c r="DP7" s="9"/>
      <c r="DQ7" s="83"/>
      <c r="DR7" s="98"/>
      <c r="DS7" s="84"/>
      <c r="DT7" s="426"/>
      <c r="DU7" s="429"/>
      <c r="DV7" s="427"/>
      <c r="DW7" s="83"/>
      <c r="DX7" s="98"/>
      <c r="DY7" s="84"/>
      <c r="DZ7" s="10">
        <v>8.3000000000000007</v>
      </c>
      <c r="EA7" s="7">
        <v>8.4</v>
      </c>
      <c r="EB7" s="9">
        <v>3</v>
      </c>
      <c r="EC7" s="83">
        <f t="shared" si="64"/>
        <v>1.4457831325301203</v>
      </c>
      <c r="ED7" s="98">
        <f t="shared" si="65"/>
        <v>1.4285714285714286</v>
      </c>
      <c r="EE7" s="84">
        <f t="shared" si="66"/>
        <v>1.1723329425556859</v>
      </c>
      <c r="EF7" s="10"/>
      <c r="EG7" s="7"/>
      <c r="EH7" s="9"/>
      <c r="EI7" s="83"/>
      <c r="EJ7" s="98"/>
      <c r="EK7" s="84"/>
      <c r="EL7" s="426"/>
      <c r="EM7" s="429"/>
      <c r="EN7" s="427"/>
      <c r="EO7" s="83"/>
      <c r="EP7" s="98"/>
      <c r="EQ7" s="84"/>
      <c r="ER7" s="10">
        <v>8.5</v>
      </c>
      <c r="ES7" s="7">
        <v>8.6</v>
      </c>
      <c r="ET7" s="9">
        <v>3</v>
      </c>
      <c r="EU7" s="83">
        <f t="shared" si="67"/>
        <v>1.411764705882353</v>
      </c>
      <c r="EV7" s="98">
        <f t="shared" si="68"/>
        <v>1.3953488372093024</v>
      </c>
      <c r="EW7" s="84">
        <f t="shared" si="69"/>
        <v>1.1723329425556859</v>
      </c>
      <c r="EX7" s="10"/>
      <c r="EY7" s="7"/>
      <c r="EZ7" s="9"/>
      <c r="FA7" s="83"/>
      <c r="FB7" s="98"/>
      <c r="FC7" s="84"/>
      <c r="FD7" s="426"/>
      <c r="FE7" s="429"/>
      <c r="FF7" s="427"/>
      <c r="FG7" s="83"/>
      <c r="FH7" s="98"/>
      <c r="FI7" s="84"/>
      <c r="FJ7" s="12" t="s">
        <v>2</v>
      </c>
    </row>
    <row r="8" spans="1:166" ht="15" customHeight="1" x14ac:dyDescent="0.25">
      <c r="A8" s="82">
        <v>1999</v>
      </c>
      <c r="B8" s="1"/>
      <c r="C8" s="26">
        <v>1999</v>
      </c>
      <c r="D8" s="23">
        <v>7.8</v>
      </c>
      <c r="E8" s="9">
        <v>9.5</v>
      </c>
      <c r="F8" s="83">
        <f t="shared" si="30"/>
        <v>1.5384615384615385</v>
      </c>
      <c r="G8" s="84">
        <f t="shared" si="31"/>
        <v>1.263157894736842</v>
      </c>
      <c r="H8" s="11">
        <v>7.5</v>
      </c>
      <c r="I8" s="9">
        <v>9.1999999999999993</v>
      </c>
      <c r="J8" s="83">
        <f t="shared" si="32"/>
        <v>1.6</v>
      </c>
      <c r="K8" s="84">
        <f t="shared" si="33"/>
        <v>1.3043478260869565</v>
      </c>
      <c r="L8" s="23">
        <v>7.8</v>
      </c>
      <c r="M8" s="9">
        <v>9.5</v>
      </c>
      <c r="N8" s="83">
        <f t="shared" si="34"/>
        <v>1.5384615384615385</v>
      </c>
      <c r="O8" s="84">
        <f t="shared" si="35"/>
        <v>1.263157894736842</v>
      </c>
      <c r="P8" s="11">
        <v>7.5</v>
      </c>
      <c r="Q8" s="9">
        <v>9.1999999999999993</v>
      </c>
      <c r="R8" s="83">
        <f t="shared" si="36"/>
        <v>1.6</v>
      </c>
      <c r="S8" s="84">
        <f t="shared" si="37"/>
        <v>1.3043478260869565</v>
      </c>
      <c r="T8" s="664">
        <v>8.9</v>
      </c>
      <c r="U8" s="665">
        <v>9.1</v>
      </c>
      <c r="V8" s="83">
        <f t="shared" si="38"/>
        <v>1.348314606741573</v>
      </c>
      <c r="W8" s="84">
        <f t="shared" si="39"/>
        <v>1.3186813186813187</v>
      </c>
      <c r="X8" s="10"/>
      <c r="Y8" s="9"/>
      <c r="Z8" s="83"/>
      <c r="AA8" s="84"/>
      <c r="AB8" s="10"/>
      <c r="AC8" s="9"/>
      <c r="AD8" s="83"/>
      <c r="AE8" s="84"/>
      <c r="AF8" s="10">
        <v>8.3000000000000007</v>
      </c>
      <c r="AG8" s="9">
        <v>8.5</v>
      </c>
      <c r="AH8" s="65">
        <f t="shared" si="40"/>
        <v>1.4457831325301203</v>
      </c>
      <c r="AI8" s="66">
        <f t="shared" si="41"/>
        <v>1.411764705882353</v>
      </c>
      <c r="AJ8" s="10"/>
      <c r="AK8" s="9"/>
      <c r="AL8" s="65"/>
      <c r="AM8" s="66"/>
      <c r="AN8" s="426"/>
      <c r="AO8" s="427"/>
      <c r="AP8" s="65"/>
      <c r="AQ8" s="66"/>
      <c r="AR8" s="10">
        <v>8.3000000000000007</v>
      </c>
      <c r="AS8" s="9">
        <v>8.4</v>
      </c>
      <c r="AT8" s="65">
        <f t="shared" si="42"/>
        <v>1.4457831325301203</v>
      </c>
      <c r="AU8" s="66">
        <f t="shared" si="43"/>
        <v>1.4285714285714286</v>
      </c>
      <c r="AV8" s="10"/>
      <c r="AW8" s="9"/>
      <c r="AX8" s="65"/>
      <c r="AY8" s="66"/>
      <c r="AZ8" s="426"/>
      <c r="BA8" s="427"/>
      <c r="BB8" s="65"/>
      <c r="BC8" s="66"/>
      <c r="BD8" s="10">
        <v>8</v>
      </c>
      <c r="BE8" s="9">
        <v>8.1</v>
      </c>
      <c r="BF8" s="65">
        <f t="shared" si="44"/>
        <v>1.5</v>
      </c>
      <c r="BG8" s="66">
        <f t="shared" si="45"/>
        <v>1.4814814814814816</v>
      </c>
      <c r="BH8" s="10"/>
      <c r="BI8" s="9"/>
      <c r="BJ8" s="65"/>
      <c r="BK8" s="66"/>
      <c r="BL8" s="428"/>
      <c r="BM8" s="427"/>
      <c r="BN8" s="65"/>
      <c r="BO8" s="66"/>
      <c r="BP8" s="12" t="s">
        <v>2</v>
      </c>
      <c r="BQ8" s="1"/>
      <c r="BR8" s="27">
        <v>7.8</v>
      </c>
      <c r="BS8" s="7">
        <v>9.5</v>
      </c>
      <c r="BT8" s="94">
        <v>5.7</v>
      </c>
      <c r="BU8" s="83">
        <f t="shared" si="46"/>
        <v>1.5384615384615385</v>
      </c>
      <c r="BV8" s="98">
        <f t="shared" si="47"/>
        <v>1.263157894736842</v>
      </c>
      <c r="BW8" s="84">
        <f t="shared" si="48"/>
        <v>2.1052631578947367</v>
      </c>
      <c r="BX8" s="96">
        <v>7.5</v>
      </c>
      <c r="BY8" s="7">
        <v>9.1999999999999993</v>
      </c>
      <c r="BZ8" s="9">
        <v>5.6</v>
      </c>
      <c r="CA8" s="83">
        <f t="shared" si="49"/>
        <v>1.6</v>
      </c>
      <c r="CB8" s="98">
        <f t="shared" si="50"/>
        <v>1.3043478260869565</v>
      </c>
      <c r="CC8" s="84">
        <f t="shared" si="51"/>
        <v>2.1428571428571428</v>
      </c>
      <c r="CD8" s="27">
        <v>7.8</v>
      </c>
      <c r="CE8" s="7">
        <v>9.5</v>
      </c>
      <c r="CF8" s="94">
        <v>5.7</v>
      </c>
      <c r="CG8" s="83">
        <f t="shared" si="52"/>
        <v>1.5384615384615385</v>
      </c>
      <c r="CH8" s="98">
        <f t="shared" si="53"/>
        <v>1.263157894736842</v>
      </c>
      <c r="CI8" s="84">
        <f t="shared" si="54"/>
        <v>2.1052631578947367</v>
      </c>
      <c r="CJ8" s="96">
        <v>7.5</v>
      </c>
      <c r="CK8" s="7">
        <v>9.1999999999999993</v>
      </c>
      <c r="CL8" s="9">
        <v>5.6</v>
      </c>
      <c r="CM8" s="83">
        <f t="shared" si="55"/>
        <v>1.6</v>
      </c>
      <c r="CN8" s="98">
        <f t="shared" si="56"/>
        <v>1.3043478260869565</v>
      </c>
      <c r="CO8" s="84">
        <f t="shared" si="57"/>
        <v>2.1428571428571428</v>
      </c>
      <c r="CP8" s="10">
        <v>8.9</v>
      </c>
      <c r="CQ8" s="7">
        <v>9.1</v>
      </c>
      <c r="CR8" s="9">
        <v>3</v>
      </c>
      <c r="CS8" s="83">
        <f t="shared" si="58"/>
        <v>1.348314606741573</v>
      </c>
      <c r="CT8" s="98">
        <f t="shared" si="59"/>
        <v>1.3186813186813187</v>
      </c>
      <c r="CU8" s="84">
        <f t="shared" si="60"/>
        <v>1.1723329425556859</v>
      </c>
      <c r="CV8" s="10"/>
      <c r="CW8" s="7"/>
      <c r="CX8" s="9"/>
      <c r="CY8" s="83"/>
      <c r="CZ8" s="98"/>
      <c r="DA8" s="84"/>
      <c r="DB8" s="426"/>
      <c r="DC8" s="429"/>
      <c r="DD8" s="427"/>
      <c r="DE8" s="83"/>
      <c r="DF8" s="98"/>
      <c r="DG8" s="84"/>
      <c r="DH8" s="10">
        <v>8.3000000000000007</v>
      </c>
      <c r="DI8" s="7">
        <v>8.5</v>
      </c>
      <c r="DJ8" s="9">
        <v>2.9</v>
      </c>
      <c r="DK8" s="83">
        <f t="shared" si="61"/>
        <v>1.4457831325301203</v>
      </c>
      <c r="DL8" s="98">
        <f t="shared" si="62"/>
        <v>1.411764705882353</v>
      </c>
      <c r="DM8" s="84">
        <f t="shared" si="63"/>
        <v>1.2127582164369164</v>
      </c>
      <c r="DN8" s="10"/>
      <c r="DO8" s="7"/>
      <c r="DP8" s="9"/>
      <c r="DQ8" s="83"/>
      <c r="DR8" s="98"/>
      <c r="DS8" s="84"/>
      <c r="DT8" s="426"/>
      <c r="DU8" s="429"/>
      <c r="DV8" s="427"/>
      <c r="DW8" s="83"/>
      <c r="DX8" s="98"/>
      <c r="DY8" s="84"/>
      <c r="DZ8" s="10">
        <v>8.3000000000000007</v>
      </c>
      <c r="EA8" s="7">
        <v>8.4</v>
      </c>
      <c r="EB8" s="9">
        <v>2.9</v>
      </c>
      <c r="EC8" s="83">
        <f t="shared" si="64"/>
        <v>1.4457831325301203</v>
      </c>
      <c r="ED8" s="98">
        <f t="shared" si="65"/>
        <v>1.4285714285714286</v>
      </c>
      <c r="EE8" s="84">
        <f t="shared" si="66"/>
        <v>1.2127582164369164</v>
      </c>
      <c r="EF8" s="10"/>
      <c r="EG8" s="7"/>
      <c r="EH8" s="9"/>
      <c r="EI8" s="83"/>
      <c r="EJ8" s="98"/>
      <c r="EK8" s="84"/>
      <c r="EL8" s="426"/>
      <c r="EM8" s="429"/>
      <c r="EN8" s="427"/>
      <c r="EO8" s="83"/>
      <c r="EP8" s="98"/>
      <c r="EQ8" s="84"/>
      <c r="ER8" s="10">
        <v>8.5</v>
      </c>
      <c r="ES8" s="7">
        <v>8.6</v>
      </c>
      <c r="ET8" s="9">
        <v>2.9</v>
      </c>
      <c r="EU8" s="83">
        <f t="shared" si="67"/>
        <v>1.411764705882353</v>
      </c>
      <c r="EV8" s="98">
        <f t="shared" si="68"/>
        <v>1.3953488372093024</v>
      </c>
      <c r="EW8" s="84">
        <f t="shared" si="69"/>
        <v>1.2127582164369164</v>
      </c>
      <c r="EX8" s="10"/>
      <c r="EY8" s="7"/>
      <c r="EZ8" s="9"/>
      <c r="FA8" s="83"/>
      <c r="FB8" s="98"/>
      <c r="FC8" s="84"/>
      <c r="FD8" s="426"/>
      <c r="FE8" s="429"/>
      <c r="FF8" s="427"/>
      <c r="FG8" s="83"/>
      <c r="FH8" s="98"/>
      <c r="FI8" s="84"/>
      <c r="FJ8" s="12" t="s">
        <v>2</v>
      </c>
    </row>
    <row r="9" spans="1:166" ht="15" customHeight="1" x14ac:dyDescent="0.25">
      <c r="A9" s="82">
        <v>2000</v>
      </c>
      <c r="B9" s="1"/>
      <c r="C9" s="26">
        <v>2000</v>
      </c>
      <c r="D9" s="23">
        <v>7.8</v>
      </c>
      <c r="E9" s="9">
        <v>9.5</v>
      </c>
      <c r="F9" s="83">
        <f t="shared" si="30"/>
        <v>1.5384615384615385</v>
      </c>
      <c r="G9" s="84">
        <f t="shared" si="31"/>
        <v>1.263157894736842</v>
      </c>
      <c r="H9" s="11">
        <v>7.5</v>
      </c>
      <c r="I9" s="9">
        <v>9.1999999999999993</v>
      </c>
      <c r="J9" s="83">
        <f t="shared" si="32"/>
        <v>1.6</v>
      </c>
      <c r="K9" s="84">
        <f t="shared" si="33"/>
        <v>1.3043478260869565</v>
      </c>
      <c r="L9" s="23">
        <v>7.8</v>
      </c>
      <c r="M9" s="9">
        <v>9.5</v>
      </c>
      <c r="N9" s="83">
        <f t="shared" si="34"/>
        <v>1.5384615384615385</v>
      </c>
      <c r="O9" s="84">
        <f t="shared" si="35"/>
        <v>1.263157894736842</v>
      </c>
      <c r="P9" s="11">
        <v>7.5</v>
      </c>
      <c r="Q9" s="9">
        <v>9.1999999999999993</v>
      </c>
      <c r="R9" s="83">
        <f t="shared" si="36"/>
        <v>1.6</v>
      </c>
      <c r="S9" s="84">
        <f t="shared" si="37"/>
        <v>1.3043478260869565</v>
      </c>
      <c r="T9" s="664">
        <v>8.9</v>
      </c>
      <c r="U9" s="665">
        <v>9.1</v>
      </c>
      <c r="V9" s="83">
        <f t="shared" si="38"/>
        <v>1.348314606741573</v>
      </c>
      <c r="W9" s="84">
        <f t="shared" si="39"/>
        <v>1.3186813186813187</v>
      </c>
      <c r="X9" s="10"/>
      <c r="Y9" s="9"/>
      <c r="Z9" s="83"/>
      <c r="AA9" s="84"/>
      <c r="AB9" s="10"/>
      <c r="AC9" s="9"/>
      <c r="AD9" s="83"/>
      <c r="AE9" s="84"/>
      <c r="AF9" s="10">
        <v>8.3000000000000007</v>
      </c>
      <c r="AG9" s="9">
        <v>8.5</v>
      </c>
      <c r="AH9" s="65">
        <f t="shared" si="40"/>
        <v>1.4457831325301203</v>
      </c>
      <c r="AI9" s="66">
        <f t="shared" si="41"/>
        <v>1.411764705882353</v>
      </c>
      <c r="AJ9" s="10"/>
      <c r="AK9" s="9"/>
      <c r="AL9" s="65"/>
      <c r="AM9" s="66"/>
      <c r="AN9" s="426"/>
      <c r="AO9" s="427"/>
      <c r="AP9" s="65"/>
      <c r="AQ9" s="66"/>
      <c r="AR9" s="10">
        <v>8.3000000000000007</v>
      </c>
      <c r="AS9" s="9">
        <v>8.4</v>
      </c>
      <c r="AT9" s="65">
        <f t="shared" si="42"/>
        <v>1.4457831325301203</v>
      </c>
      <c r="AU9" s="66">
        <f t="shared" si="43"/>
        <v>1.4285714285714286</v>
      </c>
      <c r="AV9" s="10"/>
      <c r="AW9" s="9"/>
      <c r="AX9" s="65"/>
      <c r="AY9" s="66"/>
      <c r="AZ9" s="426"/>
      <c r="BA9" s="427"/>
      <c r="BB9" s="65"/>
      <c r="BC9" s="66"/>
      <c r="BD9" s="10">
        <v>8</v>
      </c>
      <c r="BE9" s="9">
        <v>8.1</v>
      </c>
      <c r="BF9" s="65">
        <f t="shared" si="44"/>
        <v>1.5</v>
      </c>
      <c r="BG9" s="66">
        <f t="shared" si="45"/>
        <v>1.4814814814814816</v>
      </c>
      <c r="BH9" s="10"/>
      <c r="BI9" s="9"/>
      <c r="BJ9" s="65"/>
      <c r="BK9" s="66"/>
      <c r="BL9" s="428"/>
      <c r="BM9" s="427"/>
      <c r="BN9" s="65"/>
      <c r="BO9" s="66"/>
      <c r="BP9" s="12" t="s">
        <v>2</v>
      </c>
      <c r="BQ9" s="1"/>
      <c r="BR9" s="27">
        <v>7.8</v>
      </c>
      <c r="BS9" s="7">
        <v>9.5</v>
      </c>
      <c r="BT9" s="94">
        <v>5.7</v>
      </c>
      <c r="BU9" s="83">
        <f t="shared" si="46"/>
        <v>1.5384615384615385</v>
      </c>
      <c r="BV9" s="98">
        <f t="shared" si="47"/>
        <v>1.263157894736842</v>
      </c>
      <c r="BW9" s="84">
        <f t="shared" si="48"/>
        <v>2.1052631578947367</v>
      </c>
      <c r="BX9" s="96">
        <v>7.5</v>
      </c>
      <c r="BY9" s="7">
        <v>9.1999999999999993</v>
      </c>
      <c r="BZ9" s="9">
        <v>5.6</v>
      </c>
      <c r="CA9" s="83">
        <f t="shared" si="49"/>
        <v>1.6</v>
      </c>
      <c r="CB9" s="98">
        <f t="shared" si="50"/>
        <v>1.3043478260869565</v>
      </c>
      <c r="CC9" s="84">
        <f t="shared" si="51"/>
        <v>2.1428571428571428</v>
      </c>
      <c r="CD9" s="27">
        <v>7.8</v>
      </c>
      <c r="CE9" s="7">
        <v>9.5</v>
      </c>
      <c r="CF9" s="94">
        <v>5.7</v>
      </c>
      <c r="CG9" s="83">
        <f t="shared" si="52"/>
        <v>1.5384615384615385</v>
      </c>
      <c r="CH9" s="98">
        <f t="shared" si="53"/>
        <v>1.263157894736842</v>
      </c>
      <c r="CI9" s="84">
        <f t="shared" si="54"/>
        <v>2.1052631578947367</v>
      </c>
      <c r="CJ9" s="96">
        <v>7.5</v>
      </c>
      <c r="CK9" s="7">
        <v>9.1999999999999993</v>
      </c>
      <c r="CL9" s="9">
        <v>5.6</v>
      </c>
      <c r="CM9" s="83">
        <f t="shared" si="55"/>
        <v>1.6</v>
      </c>
      <c r="CN9" s="98">
        <f t="shared" si="56"/>
        <v>1.3043478260869565</v>
      </c>
      <c r="CO9" s="84">
        <f t="shared" si="57"/>
        <v>2.1428571428571428</v>
      </c>
      <c r="CP9" s="10">
        <v>8.9</v>
      </c>
      <c r="CQ9" s="7">
        <v>9.1</v>
      </c>
      <c r="CR9" s="9">
        <v>3</v>
      </c>
      <c r="CS9" s="83">
        <f t="shared" si="58"/>
        <v>1.348314606741573</v>
      </c>
      <c r="CT9" s="98">
        <f t="shared" si="59"/>
        <v>1.3186813186813187</v>
      </c>
      <c r="CU9" s="84">
        <f t="shared" si="60"/>
        <v>1.1723329425556859</v>
      </c>
      <c r="CV9" s="10"/>
      <c r="CW9" s="7"/>
      <c r="CX9" s="9"/>
      <c r="CY9" s="83"/>
      <c r="CZ9" s="98"/>
      <c r="DA9" s="84"/>
      <c r="DB9" s="426"/>
      <c r="DC9" s="429"/>
      <c r="DD9" s="427"/>
      <c r="DE9" s="83"/>
      <c r="DF9" s="98"/>
      <c r="DG9" s="84"/>
      <c r="DH9" s="10">
        <v>8.3000000000000007</v>
      </c>
      <c r="DI9" s="7">
        <v>8.5</v>
      </c>
      <c r="DJ9" s="9">
        <v>2.9</v>
      </c>
      <c r="DK9" s="83">
        <f t="shared" si="61"/>
        <v>1.4457831325301203</v>
      </c>
      <c r="DL9" s="98">
        <f t="shared" si="62"/>
        <v>1.411764705882353</v>
      </c>
      <c r="DM9" s="84">
        <f t="shared" si="63"/>
        <v>1.2127582164369164</v>
      </c>
      <c r="DN9" s="10"/>
      <c r="DO9" s="7"/>
      <c r="DP9" s="9"/>
      <c r="DQ9" s="83"/>
      <c r="DR9" s="98"/>
      <c r="DS9" s="84"/>
      <c r="DT9" s="426"/>
      <c r="DU9" s="429"/>
      <c r="DV9" s="427"/>
      <c r="DW9" s="83"/>
      <c r="DX9" s="98"/>
      <c r="DY9" s="84"/>
      <c r="DZ9" s="10">
        <v>8.3000000000000007</v>
      </c>
      <c r="EA9" s="7">
        <v>8.4</v>
      </c>
      <c r="EB9" s="9">
        <v>2.9</v>
      </c>
      <c r="EC9" s="83">
        <f t="shared" si="64"/>
        <v>1.4457831325301203</v>
      </c>
      <c r="ED9" s="98">
        <f t="shared" si="65"/>
        <v>1.4285714285714286</v>
      </c>
      <c r="EE9" s="84">
        <f t="shared" si="66"/>
        <v>1.2127582164369164</v>
      </c>
      <c r="EF9" s="10"/>
      <c r="EG9" s="7"/>
      <c r="EH9" s="9"/>
      <c r="EI9" s="83"/>
      <c r="EJ9" s="98"/>
      <c r="EK9" s="84"/>
      <c r="EL9" s="426"/>
      <c r="EM9" s="429"/>
      <c r="EN9" s="427"/>
      <c r="EO9" s="83"/>
      <c r="EP9" s="98"/>
      <c r="EQ9" s="84"/>
      <c r="ER9" s="10">
        <v>8.5</v>
      </c>
      <c r="ES9" s="7">
        <v>8.6</v>
      </c>
      <c r="ET9" s="9">
        <v>2.9</v>
      </c>
      <c r="EU9" s="83">
        <f t="shared" si="67"/>
        <v>1.411764705882353</v>
      </c>
      <c r="EV9" s="98">
        <f t="shared" si="68"/>
        <v>1.3953488372093024</v>
      </c>
      <c r="EW9" s="84">
        <f t="shared" si="69"/>
        <v>1.2127582164369164</v>
      </c>
      <c r="EX9" s="10"/>
      <c r="EY9" s="7"/>
      <c r="EZ9" s="9"/>
      <c r="FA9" s="83"/>
      <c r="FB9" s="98"/>
      <c r="FC9" s="84"/>
      <c r="FD9" s="426"/>
      <c r="FE9" s="429"/>
      <c r="FF9" s="427"/>
      <c r="FG9" s="83"/>
      <c r="FH9" s="98"/>
      <c r="FI9" s="84"/>
      <c r="FJ9" s="12" t="s">
        <v>2</v>
      </c>
    </row>
    <row r="10" spans="1:166" ht="15" customHeight="1" x14ac:dyDescent="0.25">
      <c r="A10" s="82">
        <v>2001</v>
      </c>
      <c r="B10" s="1"/>
      <c r="C10" s="26">
        <v>2001</v>
      </c>
      <c r="D10" s="23">
        <v>7.8</v>
      </c>
      <c r="E10" s="9">
        <v>9.5</v>
      </c>
      <c r="F10" s="83">
        <f t="shared" si="30"/>
        <v>1.5384615384615385</v>
      </c>
      <c r="G10" s="84">
        <f t="shared" si="31"/>
        <v>1.263157894736842</v>
      </c>
      <c r="H10" s="11">
        <v>7.5</v>
      </c>
      <c r="I10" s="9">
        <v>9.1999999999999993</v>
      </c>
      <c r="J10" s="83">
        <f t="shared" si="32"/>
        <v>1.6</v>
      </c>
      <c r="K10" s="84">
        <f t="shared" si="33"/>
        <v>1.3043478260869565</v>
      </c>
      <c r="L10" s="23">
        <v>7.8</v>
      </c>
      <c r="M10" s="9">
        <v>9.5</v>
      </c>
      <c r="N10" s="83">
        <f t="shared" si="34"/>
        <v>1.5384615384615385</v>
      </c>
      <c r="O10" s="84">
        <f t="shared" si="35"/>
        <v>1.263157894736842</v>
      </c>
      <c r="P10" s="11">
        <v>7.5</v>
      </c>
      <c r="Q10" s="9">
        <v>9.1999999999999993</v>
      </c>
      <c r="R10" s="83">
        <f t="shared" si="36"/>
        <v>1.6</v>
      </c>
      <c r="S10" s="84">
        <f t="shared" si="37"/>
        <v>1.3043478260869565</v>
      </c>
      <c r="T10" s="664">
        <v>8.9</v>
      </c>
      <c r="U10" s="665">
        <v>9.1</v>
      </c>
      <c r="V10" s="83">
        <f t="shared" si="38"/>
        <v>1.348314606741573</v>
      </c>
      <c r="W10" s="84">
        <f t="shared" si="39"/>
        <v>1.3186813186813187</v>
      </c>
      <c r="X10" s="10"/>
      <c r="Y10" s="9"/>
      <c r="Z10" s="83"/>
      <c r="AA10" s="84"/>
      <c r="AB10" s="10"/>
      <c r="AC10" s="9"/>
      <c r="AD10" s="83"/>
      <c r="AE10" s="84"/>
      <c r="AF10" s="10">
        <v>8.3000000000000007</v>
      </c>
      <c r="AG10" s="9">
        <v>8.5</v>
      </c>
      <c r="AH10" s="65">
        <f t="shared" si="40"/>
        <v>1.4457831325301203</v>
      </c>
      <c r="AI10" s="66">
        <f t="shared" si="41"/>
        <v>1.411764705882353</v>
      </c>
      <c r="AJ10" s="10"/>
      <c r="AK10" s="9"/>
      <c r="AL10" s="65"/>
      <c r="AM10" s="66"/>
      <c r="AN10" s="426"/>
      <c r="AO10" s="427"/>
      <c r="AP10" s="65"/>
      <c r="AQ10" s="66"/>
      <c r="AR10" s="10">
        <v>8.3000000000000007</v>
      </c>
      <c r="AS10" s="9">
        <v>8.4</v>
      </c>
      <c r="AT10" s="65">
        <f t="shared" si="42"/>
        <v>1.4457831325301203</v>
      </c>
      <c r="AU10" s="66">
        <f t="shared" si="43"/>
        <v>1.4285714285714286</v>
      </c>
      <c r="AV10" s="10"/>
      <c r="AW10" s="9"/>
      <c r="AX10" s="65"/>
      <c r="AY10" s="66"/>
      <c r="AZ10" s="426"/>
      <c r="BA10" s="427"/>
      <c r="BB10" s="65"/>
      <c r="BC10" s="66"/>
      <c r="BD10" s="10">
        <v>8</v>
      </c>
      <c r="BE10" s="9">
        <v>8.1</v>
      </c>
      <c r="BF10" s="65">
        <f t="shared" si="44"/>
        <v>1.5</v>
      </c>
      <c r="BG10" s="66">
        <f t="shared" si="45"/>
        <v>1.4814814814814816</v>
      </c>
      <c r="BH10" s="10"/>
      <c r="BI10" s="9"/>
      <c r="BJ10" s="65"/>
      <c r="BK10" s="66"/>
      <c r="BL10" s="428"/>
      <c r="BM10" s="427"/>
      <c r="BN10" s="65"/>
      <c r="BO10" s="66"/>
      <c r="BP10" s="12" t="s">
        <v>3</v>
      </c>
      <c r="BQ10" s="1"/>
      <c r="BR10" s="27">
        <v>7.8</v>
      </c>
      <c r="BS10" s="7">
        <v>9.5</v>
      </c>
      <c r="BT10" s="94">
        <v>5.7</v>
      </c>
      <c r="BU10" s="83">
        <f t="shared" si="46"/>
        <v>1.5384615384615385</v>
      </c>
      <c r="BV10" s="98">
        <f t="shared" si="47"/>
        <v>1.263157894736842</v>
      </c>
      <c r="BW10" s="84">
        <f t="shared" si="48"/>
        <v>2.1052631578947367</v>
      </c>
      <c r="BX10" s="96">
        <v>7.5</v>
      </c>
      <c r="BY10" s="7">
        <v>9.1999999999999993</v>
      </c>
      <c r="BZ10" s="9">
        <v>5.6</v>
      </c>
      <c r="CA10" s="83">
        <f t="shared" si="49"/>
        <v>1.6</v>
      </c>
      <c r="CB10" s="98">
        <f t="shared" si="50"/>
        <v>1.3043478260869565</v>
      </c>
      <c r="CC10" s="84">
        <f t="shared" si="51"/>
        <v>2.1428571428571428</v>
      </c>
      <c r="CD10" s="27">
        <v>7.8</v>
      </c>
      <c r="CE10" s="7">
        <v>9.5</v>
      </c>
      <c r="CF10" s="94">
        <v>5.7</v>
      </c>
      <c r="CG10" s="83">
        <f t="shared" si="52"/>
        <v>1.5384615384615385</v>
      </c>
      <c r="CH10" s="98">
        <f t="shared" si="53"/>
        <v>1.263157894736842</v>
      </c>
      <c r="CI10" s="84">
        <f t="shared" si="54"/>
        <v>2.1052631578947367</v>
      </c>
      <c r="CJ10" s="96">
        <v>7.5</v>
      </c>
      <c r="CK10" s="7">
        <v>9.1999999999999993</v>
      </c>
      <c r="CL10" s="9">
        <v>5.6</v>
      </c>
      <c r="CM10" s="83">
        <f t="shared" si="55"/>
        <v>1.6</v>
      </c>
      <c r="CN10" s="98">
        <f t="shared" si="56"/>
        <v>1.3043478260869565</v>
      </c>
      <c r="CO10" s="84">
        <f t="shared" si="57"/>
        <v>2.1428571428571428</v>
      </c>
      <c r="CP10" s="10">
        <v>8.9</v>
      </c>
      <c r="CQ10" s="7">
        <v>9.1</v>
      </c>
      <c r="CR10" s="9">
        <v>3.2</v>
      </c>
      <c r="CS10" s="83">
        <f t="shared" si="58"/>
        <v>1.348314606741573</v>
      </c>
      <c r="CT10" s="98">
        <f t="shared" si="59"/>
        <v>1.3186813186813187</v>
      </c>
      <c r="CU10" s="84">
        <f t="shared" si="60"/>
        <v>1.0990621336459554</v>
      </c>
      <c r="CV10" s="10"/>
      <c r="CW10" s="7"/>
      <c r="CX10" s="9"/>
      <c r="CY10" s="83"/>
      <c r="CZ10" s="98"/>
      <c r="DA10" s="84"/>
      <c r="DB10" s="426"/>
      <c r="DC10" s="429"/>
      <c r="DD10" s="427"/>
      <c r="DE10" s="83"/>
      <c r="DF10" s="98"/>
      <c r="DG10" s="84"/>
      <c r="DH10" s="10">
        <v>8.3000000000000007</v>
      </c>
      <c r="DI10" s="7">
        <v>8.5</v>
      </c>
      <c r="DJ10" s="9">
        <v>3.1</v>
      </c>
      <c r="DK10" s="83">
        <f t="shared" si="61"/>
        <v>1.4457831325301203</v>
      </c>
      <c r="DL10" s="98">
        <f t="shared" si="62"/>
        <v>1.411764705882353</v>
      </c>
      <c r="DM10" s="84">
        <f t="shared" si="63"/>
        <v>1.1345157508603412</v>
      </c>
      <c r="DN10" s="10"/>
      <c r="DO10" s="7"/>
      <c r="DP10" s="9"/>
      <c r="DQ10" s="83"/>
      <c r="DR10" s="98"/>
      <c r="DS10" s="84"/>
      <c r="DT10" s="426"/>
      <c r="DU10" s="429"/>
      <c r="DV10" s="427"/>
      <c r="DW10" s="83"/>
      <c r="DX10" s="98"/>
      <c r="DY10" s="84"/>
      <c r="DZ10" s="10">
        <v>8.3000000000000007</v>
      </c>
      <c r="EA10" s="7">
        <v>8.4</v>
      </c>
      <c r="EB10" s="9">
        <v>3.1</v>
      </c>
      <c r="EC10" s="83">
        <f t="shared" si="64"/>
        <v>1.4457831325301203</v>
      </c>
      <c r="ED10" s="98">
        <f t="shared" si="65"/>
        <v>1.4285714285714286</v>
      </c>
      <c r="EE10" s="84">
        <f t="shared" si="66"/>
        <v>1.1345157508603412</v>
      </c>
      <c r="EF10" s="10"/>
      <c r="EG10" s="7"/>
      <c r="EH10" s="9"/>
      <c r="EI10" s="83"/>
      <c r="EJ10" s="98"/>
      <c r="EK10" s="84"/>
      <c r="EL10" s="426"/>
      <c r="EM10" s="429"/>
      <c r="EN10" s="427"/>
      <c r="EO10" s="83"/>
      <c r="EP10" s="98"/>
      <c r="EQ10" s="84"/>
      <c r="ER10" s="10">
        <v>8.5</v>
      </c>
      <c r="ES10" s="7">
        <v>8.6</v>
      </c>
      <c r="ET10" s="9">
        <v>3.1</v>
      </c>
      <c r="EU10" s="83">
        <f t="shared" si="67"/>
        <v>1.411764705882353</v>
      </c>
      <c r="EV10" s="98">
        <f t="shared" si="68"/>
        <v>1.3953488372093024</v>
      </c>
      <c r="EW10" s="84">
        <f t="shared" si="69"/>
        <v>1.1345157508603412</v>
      </c>
      <c r="EX10" s="10"/>
      <c r="EY10" s="7"/>
      <c r="EZ10" s="9"/>
      <c r="FA10" s="83"/>
      <c r="FB10" s="98"/>
      <c r="FC10" s="84"/>
      <c r="FD10" s="426"/>
      <c r="FE10" s="429"/>
      <c r="FF10" s="427"/>
      <c r="FG10" s="83"/>
      <c r="FH10" s="98"/>
      <c r="FI10" s="84"/>
      <c r="FJ10" s="12" t="s">
        <v>3</v>
      </c>
    </row>
    <row r="11" spans="1:166" ht="15" customHeight="1" x14ac:dyDescent="0.25">
      <c r="A11" s="82">
        <v>2002</v>
      </c>
      <c r="B11" s="1"/>
      <c r="C11" s="26">
        <v>2002</v>
      </c>
      <c r="D11" s="23">
        <v>7.8</v>
      </c>
      <c r="E11" s="9">
        <v>9.5</v>
      </c>
      <c r="F11" s="83">
        <f t="shared" si="30"/>
        <v>1.5384615384615385</v>
      </c>
      <c r="G11" s="84">
        <f t="shared" si="31"/>
        <v>1.263157894736842</v>
      </c>
      <c r="H11" s="11">
        <v>7.5</v>
      </c>
      <c r="I11" s="9">
        <v>9.1999999999999993</v>
      </c>
      <c r="J11" s="83">
        <f t="shared" si="32"/>
        <v>1.6</v>
      </c>
      <c r="K11" s="84">
        <f t="shared" si="33"/>
        <v>1.3043478260869565</v>
      </c>
      <c r="L11" s="23">
        <v>7.8</v>
      </c>
      <c r="M11" s="9">
        <v>9.5</v>
      </c>
      <c r="N11" s="83">
        <f t="shared" si="34"/>
        <v>1.5384615384615385</v>
      </c>
      <c r="O11" s="84">
        <f t="shared" si="35"/>
        <v>1.263157894736842</v>
      </c>
      <c r="P11" s="11">
        <v>7.5</v>
      </c>
      <c r="Q11" s="9">
        <v>9.1999999999999993</v>
      </c>
      <c r="R11" s="83">
        <f t="shared" si="36"/>
        <v>1.6</v>
      </c>
      <c r="S11" s="84">
        <f t="shared" si="37"/>
        <v>1.3043478260869565</v>
      </c>
      <c r="T11" s="664">
        <v>10.1</v>
      </c>
      <c r="U11" s="665">
        <v>10.3</v>
      </c>
      <c r="V11" s="83">
        <f t="shared" si="38"/>
        <v>1.1881188118811881</v>
      </c>
      <c r="W11" s="84">
        <f t="shared" si="39"/>
        <v>1.1650485436893203</v>
      </c>
      <c r="X11" s="10"/>
      <c r="Y11" s="9"/>
      <c r="Z11" s="83"/>
      <c r="AA11" s="84"/>
      <c r="AB11" s="10"/>
      <c r="AC11" s="9"/>
      <c r="AD11" s="83"/>
      <c r="AE11" s="84"/>
      <c r="AF11" s="10">
        <v>9.5</v>
      </c>
      <c r="AG11" s="9">
        <v>9.6999999999999993</v>
      </c>
      <c r="AH11" s="65">
        <f t="shared" si="40"/>
        <v>1.263157894736842</v>
      </c>
      <c r="AI11" s="66">
        <f t="shared" si="41"/>
        <v>1.2371134020618557</v>
      </c>
      <c r="AJ11" s="10"/>
      <c r="AK11" s="9"/>
      <c r="AL11" s="65"/>
      <c r="AM11" s="66"/>
      <c r="AN11" s="426"/>
      <c r="AO11" s="427"/>
      <c r="AP11" s="65"/>
      <c r="AQ11" s="66"/>
      <c r="AR11" s="10">
        <v>9.3000000000000007</v>
      </c>
      <c r="AS11" s="9">
        <v>9.4</v>
      </c>
      <c r="AT11" s="65">
        <f t="shared" si="42"/>
        <v>1.2903225806451613</v>
      </c>
      <c r="AU11" s="66">
        <f t="shared" si="43"/>
        <v>1.2765957446808509</v>
      </c>
      <c r="AV11" s="10"/>
      <c r="AW11" s="9"/>
      <c r="AX11" s="65"/>
      <c r="AY11" s="66"/>
      <c r="AZ11" s="426"/>
      <c r="BA11" s="427"/>
      <c r="BB11" s="65"/>
      <c r="BC11" s="66"/>
      <c r="BD11" s="10">
        <v>9</v>
      </c>
      <c r="BE11" s="9">
        <v>9.1</v>
      </c>
      <c r="BF11" s="65">
        <f t="shared" si="44"/>
        <v>1.3333333333333333</v>
      </c>
      <c r="BG11" s="66">
        <f t="shared" si="45"/>
        <v>1.3186813186813187</v>
      </c>
      <c r="BH11" s="10"/>
      <c r="BI11" s="9"/>
      <c r="BJ11" s="65"/>
      <c r="BK11" s="66"/>
      <c r="BL11" s="428"/>
      <c r="BM11" s="427"/>
      <c r="BN11" s="65"/>
      <c r="BO11" s="66"/>
      <c r="BP11" s="12" t="s">
        <v>3</v>
      </c>
      <c r="BQ11" s="1"/>
      <c r="BR11" s="27">
        <v>7.8</v>
      </c>
      <c r="BS11" s="7">
        <v>9.5</v>
      </c>
      <c r="BT11" s="94">
        <v>5.7</v>
      </c>
      <c r="BU11" s="83">
        <f t="shared" si="46"/>
        <v>1.5384615384615385</v>
      </c>
      <c r="BV11" s="98">
        <f t="shared" si="47"/>
        <v>1.263157894736842</v>
      </c>
      <c r="BW11" s="84">
        <f t="shared" si="48"/>
        <v>2.1052631578947367</v>
      </c>
      <c r="BX11" s="96">
        <v>7.5</v>
      </c>
      <c r="BY11" s="7">
        <v>9.1999999999999993</v>
      </c>
      <c r="BZ11" s="9">
        <v>5.6</v>
      </c>
      <c r="CA11" s="83">
        <f t="shared" si="49"/>
        <v>1.6</v>
      </c>
      <c r="CB11" s="98">
        <f t="shared" si="50"/>
        <v>1.3043478260869565</v>
      </c>
      <c r="CC11" s="84">
        <f t="shared" si="51"/>
        <v>2.1428571428571428</v>
      </c>
      <c r="CD11" s="27">
        <v>7.8</v>
      </c>
      <c r="CE11" s="7">
        <v>9.5</v>
      </c>
      <c r="CF11" s="94">
        <v>5.7</v>
      </c>
      <c r="CG11" s="83">
        <f t="shared" si="52"/>
        <v>1.5384615384615385</v>
      </c>
      <c r="CH11" s="98">
        <f t="shared" si="53"/>
        <v>1.263157894736842</v>
      </c>
      <c r="CI11" s="84">
        <f t="shared" si="54"/>
        <v>2.1052631578947367</v>
      </c>
      <c r="CJ11" s="96">
        <v>7.5</v>
      </c>
      <c r="CK11" s="7">
        <v>9.1999999999999993</v>
      </c>
      <c r="CL11" s="9">
        <v>5.6</v>
      </c>
      <c r="CM11" s="83">
        <f t="shared" si="55"/>
        <v>1.6</v>
      </c>
      <c r="CN11" s="98">
        <f t="shared" si="56"/>
        <v>1.3043478260869565</v>
      </c>
      <c r="CO11" s="84">
        <f t="shared" si="57"/>
        <v>2.1428571428571428</v>
      </c>
      <c r="CP11" s="10">
        <v>10.1</v>
      </c>
      <c r="CQ11" s="7">
        <v>10.3</v>
      </c>
      <c r="CR11" s="9">
        <v>3.2</v>
      </c>
      <c r="CS11" s="83">
        <f t="shared" si="58"/>
        <v>1.1881188118811881</v>
      </c>
      <c r="CT11" s="98">
        <f t="shared" si="59"/>
        <v>1.1650485436893203</v>
      </c>
      <c r="CU11" s="84">
        <f t="shared" si="60"/>
        <v>1.0990621336459554</v>
      </c>
      <c r="CV11" s="10"/>
      <c r="CW11" s="7"/>
      <c r="CX11" s="9"/>
      <c r="CY11" s="83"/>
      <c r="CZ11" s="98"/>
      <c r="DA11" s="84"/>
      <c r="DB11" s="426"/>
      <c r="DC11" s="429"/>
      <c r="DD11" s="427"/>
      <c r="DE11" s="83"/>
      <c r="DF11" s="98"/>
      <c r="DG11" s="84"/>
      <c r="DH11" s="10">
        <v>9.3000000000000007</v>
      </c>
      <c r="DI11" s="7">
        <v>9.5</v>
      </c>
      <c r="DJ11" s="9">
        <v>3.1</v>
      </c>
      <c r="DK11" s="83">
        <f t="shared" si="61"/>
        <v>1.2903225806451613</v>
      </c>
      <c r="DL11" s="98">
        <f t="shared" si="62"/>
        <v>1.263157894736842</v>
      </c>
      <c r="DM11" s="84">
        <f t="shared" si="63"/>
        <v>1.1345157508603412</v>
      </c>
      <c r="DN11" s="10"/>
      <c r="DO11" s="7"/>
      <c r="DP11" s="9"/>
      <c r="DQ11" s="83"/>
      <c r="DR11" s="98"/>
      <c r="DS11" s="84"/>
      <c r="DT11" s="426"/>
      <c r="DU11" s="429"/>
      <c r="DV11" s="427"/>
      <c r="DW11" s="83"/>
      <c r="DX11" s="98"/>
      <c r="DY11" s="84"/>
      <c r="DZ11" s="10">
        <v>9</v>
      </c>
      <c r="EA11" s="7">
        <v>9.1</v>
      </c>
      <c r="EB11" s="9">
        <v>3.1</v>
      </c>
      <c r="EC11" s="83">
        <f t="shared" si="64"/>
        <v>1.3333333333333333</v>
      </c>
      <c r="ED11" s="98">
        <f t="shared" si="65"/>
        <v>1.3186813186813187</v>
      </c>
      <c r="EE11" s="84">
        <f t="shared" si="66"/>
        <v>1.1345157508603412</v>
      </c>
      <c r="EF11" s="10"/>
      <c r="EG11" s="7"/>
      <c r="EH11" s="9"/>
      <c r="EI11" s="83"/>
      <c r="EJ11" s="98"/>
      <c r="EK11" s="84"/>
      <c r="EL11" s="426"/>
      <c r="EM11" s="429"/>
      <c r="EN11" s="427"/>
      <c r="EO11" s="83"/>
      <c r="EP11" s="98"/>
      <c r="EQ11" s="84"/>
      <c r="ER11" s="10">
        <v>9</v>
      </c>
      <c r="ES11" s="7">
        <v>9.1</v>
      </c>
      <c r="ET11" s="9">
        <v>3.1</v>
      </c>
      <c r="EU11" s="83">
        <f t="shared" si="67"/>
        <v>1.3333333333333333</v>
      </c>
      <c r="EV11" s="98">
        <f t="shared" si="68"/>
        <v>1.3186813186813187</v>
      </c>
      <c r="EW11" s="84">
        <f t="shared" si="69"/>
        <v>1.1345157508603412</v>
      </c>
      <c r="EX11" s="10"/>
      <c r="EY11" s="7"/>
      <c r="EZ11" s="9"/>
      <c r="FA11" s="83"/>
      <c r="FB11" s="98"/>
      <c r="FC11" s="84"/>
      <c r="FD11" s="426"/>
      <c r="FE11" s="429"/>
      <c r="FF11" s="427"/>
      <c r="FG11" s="83"/>
      <c r="FH11" s="98"/>
      <c r="FI11" s="84"/>
      <c r="FJ11" s="12" t="s">
        <v>3</v>
      </c>
    </row>
    <row r="12" spans="1:166" ht="15" customHeight="1" x14ac:dyDescent="0.25">
      <c r="A12" s="82">
        <v>2003</v>
      </c>
      <c r="B12" s="1"/>
      <c r="C12" s="26">
        <v>2003</v>
      </c>
      <c r="D12" s="23">
        <v>7.8</v>
      </c>
      <c r="E12" s="9">
        <v>9.5</v>
      </c>
      <c r="F12" s="83">
        <f t="shared" si="30"/>
        <v>1.5384615384615385</v>
      </c>
      <c r="G12" s="84">
        <f t="shared" si="31"/>
        <v>1.263157894736842</v>
      </c>
      <c r="H12" s="11">
        <v>7.5</v>
      </c>
      <c r="I12" s="9">
        <v>9.1999999999999993</v>
      </c>
      <c r="J12" s="83">
        <f t="shared" si="32"/>
        <v>1.6</v>
      </c>
      <c r="K12" s="84">
        <f t="shared" si="33"/>
        <v>1.3043478260869565</v>
      </c>
      <c r="L12" s="23">
        <v>7.8</v>
      </c>
      <c r="M12" s="9">
        <v>9.5</v>
      </c>
      <c r="N12" s="83">
        <f t="shared" si="34"/>
        <v>1.5384615384615385</v>
      </c>
      <c r="O12" s="84">
        <f t="shared" si="35"/>
        <v>1.263157894736842</v>
      </c>
      <c r="P12" s="11">
        <v>7.5</v>
      </c>
      <c r="Q12" s="9">
        <v>9.1999999999999993</v>
      </c>
      <c r="R12" s="83">
        <f t="shared" si="36"/>
        <v>1.6</v>
      </c>
      <c r="S12" s="84">
        <f t="shared" si="37"/>
        <v>1.3043478260869565</v>
      </c>
      <c r="T12" s="664">
        <v>10.1</v>
      </c>
      <c r="U12" s="665">
        <v>10.3</v>
      </c>
      <c r="V12" s="83">
        <f t="shared" si="38"/>
        <v>1.1881188118811881</v>
      </c>
      <c r="W12" s="84">
        <f t="shared" si="39"/>
        <v>1.1650485436893203</v>
      </c>
      <c r="X12" s="10"/>
      <c r="Y12" s="9"/>
      <c r="Z12" s="83"/>
      <c r="AA12" s="84"/>
      <c r="AB12" s="10"/>
      <c r="AC12" s="9"/>
      <c r="AD12" s="83"/>
      <c r="AE12" s="84"/>
      <c r="AF12" s="10">
        <v>9.5</v>
      </c>
      <c r="AG12" s="9">
        <v>9.6999999999999993</v>
      </c>
      <c r="AH12" s="65">
        <f t="shared" si="40"/>
        <v>1.263157894736842</v>
      </c>
      <c r="AI12" s="66">
        <f t="shared" si="41"/>
        <v>1.2371134020618557</v>
      </c>
      <c r="AJ12" s="10"/>
      <c r="AK12" s="9"/>
      <c r="AL12" s="65"/>
      <c r="AM12" s="66"/>
      <c r="AN12" s="426"/>
      <c r="AO12" s="427"/>
      <c r="AP12" s="65"/>
      <c r="AQ12" s="66"/>
      <c r="AR12" s="10">
        <v>9.3000000000000007</v>
      </c>
      <c r="AS12" s="9">
        <v>9.4</v>
      </c>
      <c r="AT12" s="65">
        <f t="shared" si="42"/>
        <v>1.2903225806451613</v>
      </c>
      <c r="AU12" s="66">
        <f t="shared" si="43"/>
        <v>1.2765957446808509</v>
      </c>
      <c r="AV12" s="10"/>
      <c r="AW12" s="9"/>
      <c r="AX12" s="65"/>
      <c r="AY12" s="66"/>
      <c r="AZ12" s="426"/>
      <c r="BA12" s="427"/>
      <c r="BB12" s="65"/>
      <c r="BC12" s="66"/>
      <c r="BD12" s="10">
        <v>9</v>
      </c>
      <c r="BE12" s="9">
        <v>9.1</v>
      </c>
      <c r="BF12" s="65">
        <f t="shared" si="44"/>
        <v>1.3333333333333333</v>
      </c>
      <c r="BG12" s="66">
        <f t="shared" si="45"/>
        <v>1.3186813186813187</v>
      </c>
      <c r="BH12" s="10"/>
      <c r="BI12" s="9"/>
      <c r="BJ12" s="65"/>
      <c r="BK12" s="66"/>
      <c r="BL12" s="428"/>
      <c r="BM12" s="427"/>
      <c r="BN12" s="65"/>
      <c r="BO12" s="66"/>
      <c r="BP12" s="12" t="s">
        <v>3</v>
      </c>
      <c r="BQ12" s="1"/>
      <c r="BR12" s="27">
        <v>7.8</v>
      </c>
      <c r="BS12" s="7">
        <v>9.5</v>
      </c>
      <c r="BT12" s="94">
        <v>5.7</v>
      </c>
      <c r="BU12" s="83">
        <f t="shared" si="46"/>
        <v>1.5384615384615385</v>
      </c>
      <c r="BV12" s="98">
        <f t="shared" si="47"/>
        <v>1.263157894736842</v>
      </c>
      <c r="BW12" s="84">
        <f t="shared" si="48"/>
        <v>2.1052631578947367</v>
      </c>
      <c r="BX12" s="96">
        <v>7.5</v>
      </c>
      <c r="BY12" s="7">
        <v>9.1999999999999993</v>
      </c>
      <c r="BZ12" s="9">
        <v>5.6</v>
      </c>
      <c r="CA12" s="83">
        <f t="shared" si="49"/>
        <v>1.6</v>
      </c>
      <c r="CB12" s="98">
        <f t="shared" si="50"/>
        <v>1.3043478260869565</v>
      </c>
      <c r="CC12" s="84">
        <f t="shared" si="51"/>
        <v>2.1428571428571428</v>
      </c>
      <c r="CD12" s="27">
        <v>7.8</v>
      </c>
      <c r="CE12" s="7">
        <v>9.5</v>
      </c>
      <c r="CF12" s="94">
        <v>5.7</v>
      </c>
      <c r="CG12" s="83">
        <f t="shared" si="52"/>
        <v>1.5384615384615385</v>
      </c>
      <c r="CH12" s="98">
        <f t="shared" si="53"/>
        <v>1.263157894736842</v>
      </c>
      <c r="CI12" s="84">
        <f t="shared" si="54"/>
        <v>2.1052631578947367</v>
      </c>
      <c r="CJ12" s="96">
        <v>7.5</v>
      </c>
      <c r="CK12" s="7">
        <v>9.1999999999999993</v>
      </c>
      <c r="CL12" s="9">
        <v>5.6</v>
      </c>
      <c r="CM12" s="83">
        <f t="shared" si="55"/>
        <v>1.6</v>
      </c>
      <c r="CN12" s="98">
        <f t="shared" si="56"/>
        <v>1.3043478260869565</v>
      </c>
      <c r="CO12" s="84">
        <f t="shared" si="57"/>
        <v>2.1428571428571428</v>
      </c>
      <c r="CP12" s="10">
        <v>10.1</v>
      </c>
      <c r="CQ12" s="7">
        <v>10.3</v>
      </c>
      <c r="CR12" s="9">
        <v>3.2</v>
      </c>
      <c r="CS12" s="83">
        <f t="shared" si="58"/>
        <v>1.1881188118811881</v>
      </c>
      <c r="CT12" s="98">
        <f t="shared" si="59"/>
        <v>1.1650485436893203</v>
      </c>
      <c r="CU12" s="84">
        <f t="shared" si="60"/>
        <v>1.0990621336459554</v>
      </c>
      <c r="CV12" s="10"/>
      <c r="CW12" s="7"/>
      <c r="CX12" s="9"/>
      <c r="CY12" s="83"/>
      <c r="CZ12" s="98"/>
      <c r="DA12" s="84"/>
      <c r="DB12" s="426"/>
      <c r="DC12" s="429"/>
      <c r="DD12" s="427"/>
      <c r="DE12" s="83"/>
      <c r="DF12" s="98"/>
      <c r="DG12" s="84"/>
      <c r="DH12" s="10">
        <v>9.3000000000000007</v>
      </c>
      <c r="DI12" s="7">
        <v>9.5</v>
      </c>
      <c r="DJ12" s="9">
        <v>3.1</v>
      </c>
      <c r="DK12" s="83">
        <f t="shared" si="61"/>
        <v>1.2903225806451613</v>
      </c>
      <c r="DL12" s="98">
        <f t="shared" si="62"/>
        <v>1.263157894736842</v>
      </c>
      <c r="DM12" s="84">
        <f t="shared" si="63"/>
        <v>1.1345157508603412</v>
      </c>
      <c r="DN12" s="10"/>
      <c r="DO12" s="7"/>
      <c r="DP12" s="9"/>
      <c r="DQ12" s="83"/>
      <c r="DR12" s="98"/>
      <c r="DS12" s="84"/>
      <c r="DT12" s="426"/>
      <c r="DU12" s="429"/>
      <c r="DV12" s="427"/>
      <c r="DW12" s="83"/>
      <c r="DX12" s="98"/>
      <c r="DY12" s="84"/>
      <c r="DZ12" s="10">
        <v>9</v>
      </c>
      <c r="EA12" s="7">
        <v>9.1</v>
      </c>
      <c r="EB12" s="9">
        <v>3.1</v>
      </c>
      <c r="EC12" s="83">
        <f t="shared" si="64"/>
        <v>1.3333333333333333</v>
      </c>
      <c r="ED12" s="98">
        <f t="shared" si="65"/>
        <v>1.3186813186813187</v>
      </c>
      <c r="EE12" s="84">
        <f t="shared" si="66"/>
        <v>1.1345157508603412</v>
      </c>
      <c r="EF12" s="10"/>
      <c r="EG12" s="7"/>
      <c r="EH12" s="9"/>
      <c r="EI12" s="83"/>
      <c r="EJ12" s="98"/>
      <c r="EK12" s="84"/>
      <c r="EL12" s="426"/>
      <c r="EM12" s="429"/>
      <c r="EN12" s="427"/>
      <c r="EO12" s="83"/>
      <c r="EP12" s="98"/>
      <c r="EQ12" s="84"/>
      <c r="ER12" s="10">
        <v>9</v>
      </c>
      <c r="ES12" s="7">
        <v>9.1</v>
      </c>
      <c r="ET12" s="9">
        <v>3.1</v>
      </c>
      <c r="EU12" s="83">
        <f t="shared" si="67"/>
        <v>1.3333333333333333</v>
      </c>
      <c r="EV12" s="98">
        <f t="shared" si="68"/>
        <v>1.3186813186813187</v>
      </c>
      <c r="EW12" s="84">
        <f t="shared" si="69"/>
        <v>1.1345157508603412</v>
      </c>
      <c r="EX12" s="10"/>
      <c r="EY12" s="7"/>
      <c r="EZ12" s="9"/>
      <c r="FA12" s="83"/>
      <c r="FB12" s="98"/>
      <c r="FC12" s="84"/>
      <c r="FD12" s="426"/>
      <c r="FE12" s="429"/>
      <c r="FF12" s="427"/>
      <c r="FG12" s="83"/>
      <c r="FH12" s="98"/>
      <c r="FI12" s="84"/>
      <c r="FJ12" s="12" t="s">
        <v>3</v>
      </c>
    </row>
    <row r="13" spans="1:166" ht="15" customHeight="1" x14ac:dyDescent="0.25">
      <c r="A13" s="82">
        <v>2004</v>
      </c>
      <c r="B13" s="1"/>
      <c r="C13" s="26">
        <v>2004</v>
      </c>
      <c r="D13" s="23">
        <v>7.8</v>
      </c>
      <c r="E13" s="9">
        <v>9.5</v>
      </c>
      <c r="F13" s="83">
        <f t="shared" si="30"/>
        <v>1.5384615384615385</v>
      </c>
      <c r="G13" s="84">
        <f t="shared" si="31"/>
        <v>1.263157894736842</v>
      </c>
      <c r="H13" s="11">
        <v>7.5</v>
      </c>
      <c r="I13" s="9">
        <v>9.1999999999999993</v>
      </c>
      <c r="J13" s="83">
        <f t="shared" si="32"/>
        <v>1.6</v>
      </c>
      <c r="K13" s="84">
        <f t="shared" si="33"/>
        <v>1.3043478260869565</v>
      </c>
      <c r="L13" s="23">
        <v>7.8</v>
      </c>
      <c r="M13" s="9">
        <v>9.5</v>
      </c>
      <c r="N13" s="83">
        <f t="shared" si="34"/>
        <v>1.5384615384615385</v>
      </c>
      <c r="O13" s="84">
        <f t="shared" si="35"/>
        <v>1.263157894736842</v>
      </c>
      <c r="P13" s="11">
        <v>7.5</v>
      </c>
      <c r="Q13" s="9">
        <v>9.1999999999999993</v>
      </c>
      <c r="R13" s="83">
        <f t="shared" si="36"/>
        <v>1.6</v>
      </c>
      <c r="S13" s="84">
        <f t="shared" si="37"/>
        <v>1.3043478260869565</v>
      </c>
      <c r="T13" s="664">
        <v>10.1</v>
      </c>
      <c r="U13" s="665">
        <v>10.3</v>
      </c>
      <c r="V13" s="83">
        <f t="shared" si="38"/>
        <v>1.1881188118811881</v>
      </c>
      <c r="W13" s="84">
        <f t="shared" si="39"/>
        <v>1.1650485436893203</v>
      </c>
      <c r="X13" s="10"/>
      <c r="Y13" s="9"/>
      <c r="Z13" s="83"/>
      <c r="AA13" s="84"/>
      <c r="AB13" s="10"/>
      <c r="AC13" s="9"/>
      <c r="AD13" s="83"/>
      <c r="AE13" s="84"/>
      <c r="AF13" s="10">
        <v>9.5</v>
      </c>
      <c r="AG13" s="9">
        <v>9.6999999999999993</v>
      </c>
      <c r="AH13" s="65">
        <f t="shared" si="40"/>
        <v>1.263157894736842</v>
      </c>
      <c r="AI13" s="66">
        <f t="shared" si="41"/>
        <v>1.2371134020618557</v>
      </c>
      <c r="AJ13" s="10"/>
      <c r="AK13" s="9"/>
      <c r="AL13" s="65"/>
      <c r="AM13" s="66"/>
      <c r="AN13" s="426"/>
      <c r="AO13" s="427"/>
      <c r="AP13" s="65"/>
      <c r="AQ13" s="66"/>
      <c r="AR13" s="10">
        <v>9.3000000000000007</v>
      </c>
      <c r="AS13" s="9">
        <v>9.4</v>
      </c>
      <c r="AT13" s="65">
        <f t="shared" si="42"/>
        <v>1.2903225806451613</v>
      </c>
      <c r="AU13" s="66">
        <f t="shared" si="43"/>
        <v>1.2765957446808509</v>
      </c>
      <c r="AV13" s="10"/>
      <c r="AW13" s="9"/>
      <c r="AX13" s="65"/>
      <c r="AY13" s="66"/>
      <c r="AZ13" s="426"/>
      <c r="BA13" s="427"/>
      <c r="BB13" s="65"/>
      <c r="BC13" s="66"/>
      <c r="BD13" s="10">
        <v>9</v>
      </c>
      <c r="BE13" s="9">
        <v>9.1</v>
      </c>
      <c r="BF13" s="65">
        <f t="shared" si="44"/>
        <v>1.3333333333333333</v>
      </c>
      <c r="BG13" s="66">
        <f t="shared" si="45"/>
        <v>1.3186813186813187</v>
      </c>
      <c r="BH13" s="10"/>
      <c r="BI13" s="9"/>
      <c r="BJ13" s="65"/>
      <c r="BK13" s="66"/>
      <c r="BL13" s="428"/>
      <c r="BM13" s="427"/>
      <c r="BN13" s="65"/>
      <c r="BO13" s="66"/>
      <c r="BP13" s="12" t="s">
        <v>4</v>
      </c>
      <c r="BQ13" s="1"/>
      <c r="BR13" s="27">
        <v>7.8</v>
      </c>
      <c r="BS13" s="7">
        <v>9.5</v>
      </c>
      <c r="BT13" s="94">
        <v>5.7</v>
      </c>
      <c r="BU13" s="83">
        <f t="shared" si="46"/>
        <v>1.5384615384615385</v>
      </c>
      <c r="BV13" s="98">
        <f t="shared" si="47"/>
        <v>1.263157894736842</v>
      </c>
      <c r="BW13" s="84">
        <f t="shared" si="48"/>
        <v>2.1052631578947367</v>
      </c>
      <c r="BX13" s="96">
        <v>7.5</v>
      </c>
      <c r="BY13" s="7">
        <v>9.1999999999999993</v>
      </c>
      <c r="BZ13" s="9">
        <v>5.6</v>
      </c>
      <c r="CA13" s="83">
        <f t="shared" si="49"/>
        <v>1.6</v>
      </c>
      <c r="CB13" s="98">
        <f t="shared" si="50"/>
        <v>1.3043478260869565</v>
      </c>
      <c r="CC13" s="84">
        <f t="shared" si="51"/>
        <v>2.1428571428571428</v>
      </c>
      <c r="CD13" s="27">
        <v>7.8</v>
      </c>
      <c r="CE13" s="7">
        <v>9.5</v>
      </c>
      <c r="CF13" s="94">
        <v>5.7</v>
      </c>
      <c r="CG13" s="83">
        <f t="shared" si="52"/>
        <v>1.5384615384615385</v>
      </c>
      <c r="CH13" s="98">
        <f t="shared" si="53"/>
        <v>1.263157894736842</v>
      </c>
      <c r="CI13" s="84">
        <f t="shared" si="54"/>
        <v>2.1052631578947367</v>
      </c>
      <c r="CJ13" s="96">
        <v>7.5</v>
      </c>
      <c r="CK13" s="7">
        <v>9.1999999999999993</v>
      </c>
      <c r="CL13" s="9">
        <v>5.6</v>
      </c>
      <c r="CM13" s="83">
        <f t="shared" si="55"/>
        <v>1.6</v>
      </c>
      <c r="CN13" s="98">
        <f t="shared" si="56"/>
        <v>1.3043478260869565</v>
      </c>
      <c r="CO13" s="84">
        <f t="shared" si="57"/>
        <v>2.1428571428571428</v>
      </c>
      <c r="CP13" s="10">
        <v>10.1</v>
      </c>
      <c r="CQ13" s="7">
        <v>10.3</v>
      </c>
      <c r="CR13" s="9">
        <v>3.2</v>
      </c>
      <c r="CS13" s="83">
        <f t="shared" si="58"/>
        <v>1.1881188118811881</v>
      </c>
      <c r="CT13" s="98">
        <f t="shared" si="59"/>
        <v>1.1650485436893203</v>
      </c>
      <c r="CU13" s="84">
        <f t="shared" si="60"/>
        <v>1.0990621336459554</v>
      </c>
      <c r="CV13" s="10"/>
      <c r="CW13" s="7"/>
      <c r="CX13" s="9"/>
      <c r="CY13" s="83"/>
      <c r="CZ13" s="98"/>
      <c r="DA13" s="84"/>
      <c r="DB13" s="426"/>
      <c r="DC13" s="429"/>
      <c r="DD13" s="427"/>
      <c r="DE13" s="83"/>
      <c r="DF13" s="98"/>
      <c r="DG13" s="84"/>
      <c r="DH13" s="10">
        <v>9.3000000000000007</v>
      </c>
      <c r="DI13" s="7">
        <v>9.5</v>
      </c>
      <c r="DJ13" s="9">
        <v>3.1</v>
      </c>
      <c r="DK13" s="83">
        <f t="shared" si="61"/>
        <v>1.2903225806451613</v>
      </c>
      <c r="DL13" s="98">
        <f t="shared" si="62"/>
        <v>1.263157894736842</v>
      </c>
      <c r="DM13" s="84">
        <f t="shared" si="63"/>
        <v>1.1345157508603412</v>
      </c>
      <c r="DN13" s="10"/>
      <c r="DO13" s="7"/>
      <c r="DP13" s="9"/>
      <c r="DQ13" s="83"/>
      <c r="DR13" s="98"/>
      <c r="DS13" s="84"/>
      <c r="DT13" s="426"/>
      <c r="DU13" s="429"/>
      <c r="DV13" s="427"/>
      <c r="DW13" s="83"/>
      <c r="DX13" s="98"/>
      <c r="DY13" s="84"/>
      <c r="DZ13" s="10">
        <v>9</v>
      </c>
      <c r="EA13" s="7">
        <v>9.1</v>
      </c>
      <c r="EB13" s="9">
        <v>3.1</v>
      </c>
      <c r="EC13" s="83">
        <f t="shared" si="64"/>
        <v>1.3333333333333333</v>
      </c>
      <c r="ED13" s="98">
        <f t="shared" si="65"/>
        <v>1.3186813186813187</v>
      </c>
      <c r="EE13" s="84">
        <f t="shared" si="66"/>
        <v>1.1345157508603412</v>
      </c>
      <c r="EF13" s="10"/>
      <c r="EG13" s="7"/>
      <c r="EH13" s="9"/>
      <c r="EI13" s="83"/>
      <c r="EJ13" s="98"/>
      <c r="EK13" s="84"/>
      <c r="EL13" s="426"/>
      <c r="EM13" s="429"/>
      <c r="EN13" s="427"/>
      <c r="EO13" s="83"/>
      <c r="EP13" s="98"/>
      <c r="EQ13" s="84"/>
      <c r="ER13" s="10">
        <v>9</v>
      </c>
      <c r="ES13" s="7">
        <v>9.1</v>
      </c>
      <c r="ET13" s="9">
        <v>3.1</v>
      </c>
      <c r="EU13" s="83">
        <f t="shared" si="67"/>
        <v>1.3333333333333333</v>
      </c>
      <c r="EV13" s="98">
        <f t="shared" si="68"/>
        <v>1.3186813186813187</v>
      </c>
      <c r="EW13" s="84">
        <f t="shared" si="69"/>
        <v>1.1345157508603412</v>
      </c>
      <c r="EX13" s="10"/>
      <c r="EY13" s="7"/>
      <c r="EZ13" s="9"/>
      <c r="FA13" s="83"/>
      <c r="FB13" s="98"/>
      <c r="FC13" s="84"/>
      <c r="FD13" s="426"/>
      <c r="FE13" s="429"/>
      <c r="FF13" s="427"/>
      <c r="FG13" s="83"/>
      <c r="FH13" s="98"/>
      <c r="FI13" s="84"/>
      <c r="FJ13" s="12" t="s">
        <v>4</v>
      </c>
    </row>
    <row r="14" spans="1:166" s="728" customFormat="1" ht="15" customHeight="1" thickBot="1" x14ac:dyDescent="0.3">
      <c r="A14" s="710">
        <v>2005</v>
      </c>
      <c r="B14" s="711"/>
      <c r="C14" s="712">
        <v>2005</v>
      </c>
      <c r="D14" s="713">
        <v>7.8</v>
      </c>
      <c r="E14" s="714">
        <v>9.5</v>
      </c>
      <c r="F14" s="99">
        <f t="shared" si="30"/>
        <v>1.5384615384615385</v>
      </c>
      <c r="G14" s="100">
        <f t="shared" si="31"/>
        <v>1.263157894736842</v>
      </c>
      <c r="H14" s="715">
        <v>7.5</v>
      </c>
      <c r="I14" s="714">
        <v>9.1999999999999993</v>
      </c>
      <c r="J14" s="99">
        <f t="shared" si="32"/>
        <v>1.6</v>
      </c>
      <c r="K14" s="100">
        <f t="shared" si="33"/>
        <v>1.3043478260869565</v>
      </c>
      <c r="L14" s="713">
        <v>7.8</v>
      </c>
      <c r="M14" s="714">
        <v>9.5</v>
      </c>
      <c r="N14" s="99">
        <f t="shared" si="34"/>
        <v>1.5384615384615385</v>
      </c>
      <c r="O14" s="100">
        <f t="shared" si="35"/>
        <v>1.263157894736842</v>
      </c>
      <c r="P14" s="715">
        <v>7.5</v>
      </c>
      <c r="Q14" s="714">
        <v>9.1999999999999993</v>
      </c>
      <c r="R14" s="99">
        <f t="shared" si="36"/>
        <v>1.6</v>
      </c>
      <c r="S14" s="100">
        <f t="shared" si="37"/>
        <v>1.3043478260869565</v>
      </c>
      <c r="T14" s="716">
        <v>10.1</v>
      </c>
      <c r="U14" s="717">
        <v>10.3</v>
      </c>
      <c r="V14" s="99">
        <f t="shared" si="38"/>
        <v>1.1881188118811881</v>
      </c>
      <c r="W14" s="100">
        <f t="shared" si="39"/>
        <v>1.1650485436893203</v>
      </c>
      <c r="X14" s="718"/>
      <c r="Y14" s="714"/>
      <c r="Z14" s="99"/>
      <c r="AA14" s="100"/>
      <c r="AB14" s="718"/>
      <c r="AC14" s="714"/>
      <c r="AD14" s="99"/>
      <c r="AE14" s="100"/>
      <c r="AF14" s="718">
        <v>9.5</v>
      </c>
      <c r="AG14" s="714">
        <v>9.6999999999999993</v>
      </c>
      <c r="AH14" s="101">
        <f t="shared" si="40"/>
        <v>1.263157894736842</v>
      </c>
      <c r="AI14" s="102">
        <f t="shared" si="41"/>
        <v>1.2371134020618557</v>
      </c>
      <c r="AJ14" s="718"/>
      <c r="AK14" s="714"/>
      <c r="AL14" s="101"/>
      <c r="AM14" s="102"/>
      <c r="AN14" s="719"/>
      <c r="AO14" s="720"/>
      <c r="AP14" s="101"/>
      <c r="AQ14" s="102"/>
      <c r="AR14" s="718">
        <v>9.3000000000000007</v>
      </c>
      <c r="AS14" s="714">
        <v>9.4</v>
      </c>
      <c r="AT14" s="101">
        <f t="shared" si="42"/>
        <v>1.2903225806451613</v>
      </c>
      <c r="AU14" s="102">
        <f t="shared" si="43"/>
        <v>1.2765957446808509</v>
      </c>
      <c r="AV14" s="718"/>
      <c r="AW14" s="714"/>
      <c r="AX14" s="101"/>
      <c r="AY14" s="102"/>
      <c r="AZ14" s="719"/>
      <c r="BA14" s="720"/>
      <c r="BB14" s="101"/>
      <c r="BC14" s="102"/>
      <c r="BD14" s="718">
        <v>9</v>
      </c>
      <c r="BE14" s="714">
        <v>9.1</v>
      </c>
      <c r="BF14" s="101">
        <f t="shared" si="44"/>
        <v>1.3333333333333333</v>
      </c>
      <c r="BG14" s="102">
        <f t="shared" si="45"/>
        <v>1.3186813186813187</v>
      </c>
      <c r="BH14" s="718"/>
      <c r="BI14" s="714"/>
      <c r="BJ14" s="101"/>
      <c r="BK14" s="102"/>
      <c r="BL14" s="721"/>
      <c r="BM14" s="720"/>
      <c r="BN14" s="101"/>
      <c r="BO14" s="102"/>
      <c r="BP14" s="722" t="s">
        <v>4</v>
      </c>
      <c r="BQ14" s="711"/>
      <c r="BR14" s="22">
        <v>7.8</v>
      </c>
      <c r="BS14" s="723">
        <v>9.5</v>
      </c>
      <c r="BT14" s="724">
        <v>5.7</v>
      </c>
      <c r="BU14" s="99">
        <f t="shared" si="46"/>
        <v>1.5384615384615385</v>
      </c>
      <c r="BV14" s="725">
        <f t="shared" si="47"/>
        <v>1.263157894736842</v>
      </c>
      <c r="BW14" s="100">
        <f t="shared" si="48"/>
        <v>2.1052631578947367</v>
      </c>
      <c r="BX14" s="726">
        <v>7.5</v>
      </c>
      <c r="BY14" s="723">
        <v>9.1999999999999993</v>
      </c>
      <c r="BZ14" s="714">
        <v>5.6</v>
      </c>
      <c r="CA14" s="99">
        <f t="shared" si="49"/>
        <v>1.6</v>
      </c>
      <c r="CB14" s="725">
        <f t="shared" si="50"/>
        <v>1.3043478260869565</v>
      </c>
      <c r="CC14" s="100">
        <f t="shared" si="51"/>
        <v>2.1428571428571428</v>
      </c>
      <c r="CD14" s="22">
        <v>7.8</v>
      </c>
      <c r="CE14" s="723">
        <v>9.5</v>
      </c>
      <c r="CF14" s="724">
        <v>5.7</v>
      </c>
      <c r="CG14" s="99">
        <f t="shared" si="52"/>
        <v>1.5384615384615385</v>
      </c>
      <c r="CH14" s="725">
        <f t="shared" si="53"/>
        <v>1.263157894736842</v>
      </c>
      <c r="CI14" s="100">
        <f t="shared" si="54"/>
        <v>2.1052631578947367</v>
      </c>
      <c r="CJ14" s="726">
        <v>7.5</v>
      </c>
      <c r="CK14" s="723">
        <v>9.1999999999999993</v>
      </c>
      <c r="CL14" s="714">
        <v>5.6</v>
      </c>
      <c r="CM14" s="99">
        <f t="shared" si="55"/>
        <v>1.6</v>
      </c>
      <c r="CN14" s="725">
        <f t="shared" si="56"/>
        <v>1.3043478260869565</v>
      </c>
      <c r="CO14" s="100">
        <f t="shared" si="57"/>
        <v>2.1428571428571428</v>
      </c>
      <c r="CP14" s="718">
        <v>10.1</v>
      </c>
      <c r="CQ14" s="723">
        <v>10.3</v>
      </c>
      <c r="CR14" s="714">
        <v>3.2</v>
      </c>
      <c r="CS14" s="99">
        <f t="shared" si="58"/>
        <v>1.1881188118811881</v>
      </c>
      <c r="CT14" s="725">
        <f t="shared" si="59"/>
        <v>1.1650485436893203</v>
      </c>
      <c r="CU14" s="100">
        <f t="shared" si="60"/>
        <v>1.0990621336459554</v>
      </c>
      <c r="CV14" s="718"/>
      <c r="CW14" s="723"/>
      <c r="CX14" s="714"/>
      <c r="CY14" s="99"/>
      <c r="CZ14" s="725"/>
      <c r="DA14" s="100"/>
      <c r="DB14" s="719"/>
      <c r="DC14" s="727"/>
      <c r="DD14" s="720"/>
      <c r="DE14" s="99"/>
      <c r="DF14" s="725"/>
      <c r="DG14" s="100"/>
      <c r="DH14" s="718">
        <v>9.3000000000000007</v>
      </c>
      <c r="DI14" s="723">
        <v>9.5</v>
      </c>
      <c r="DJ14" s="714">
        <v>3.1</v>
      </c>
      <c r="DK14" s="99">
        <f t="shared" si="61"/>
        <v>1.2903225806451613</v>
      </c>
      <c r="DL14" s="725">
        <f t="shared" si="62"/>
        <v>1.263157894736842</v>
      </c>
      <c r="DM14" s="100">
        <f t="shared" si="63"/>
        <v>1.1345157508603412</v>
      </c>
      <c r="DN14" s="718"/>
      <c r="DO14" s="723"/>
      <c r="DP14" s="714"/>
      <c r="DQ14" s="99"/>
      <c r="DR14" s="725"/>
      <c r="DS14" s="100"/>
      <c r="DT14" s="719"/>
      <c r="DU14" s="727"/>
      <c r="DV14" s="720"/>
      <c r="DW14" s="99"/>
      <c r="DX14" s="725"/>
      <c r="DY14" s="100"/>
      <c r="DZ14" s="718">
        <v>9</v>
      </c>
      <c r="EA14" s="723">
        <v>9.1</v>
      </c>
      <c r="EB14" s="714">
        <v>3.1</v>
      </c>
      <c r="EC14" s="99">
        <f t="shared" si="64"/>
        <v>1.3333333333333333</v>
      </c>
      <c r="ED14" s="725">
        <f t="shared" si="65"/>
        <v>1.3186813186813187</v>
      </c>
      <c r="EE14" s="100">
        <f t="shared" si="66"/>
        <v>1.1345157508603412</v>
      </c>
      <c r="EF14" s="718"/>
      <c r="EG14" s="723"/>
      <c r="EH14" s="714"/>
      <c r="EI14" s="99"/>
      <c r="EJ14" s="725"/>
      <c r="EK14" s="100"/>
      <c r="EL14" s="719"/>
      <c r="EM14" s="727"/>
      <c r="EN14" s="720"/>
      <c r="EO14" s="99"/>
      <c r="EP14" s="725"/>
      <c r="EQ14" s="100"/>
      <c r="ER14" s="718">
        <v>9</v>
      </c>
      <c r="ES14" s="723">
        <v>9.1</v>
      </c>
      <c r="ET14" s="714">
        <v>3.1</v>
      </c>
      <c r="EU14" s="99">
        <f t="shared" si="67"/>
        <v>1.3333333333333333</v>
      </c>
      <c r="EV14" s="725">
        <f t="shared" si="68"/>
        <v>1.3186813186813187</v>
      </c>
      <c r="EW14" s="100">
        <f t="shared" si="69"/>
        <v>1.1345157508603412</v>
      </c>
      <c r="EX14" s="718"/>
      <c r="EY14" s="723"/>
      <c r="EZ14" s="714"/>
      <c r="FA14" s="99"/>
      <c r="FB14" s="725"/>
      <c r="FC14" s="100"/>
      <c r="FD14" s="719"/>
      <c r="FE14" s="727"/>
      <c r="FF14" s="720"/>
      <c r="FG14" s="99"/>
      <c r="FH14" s="725"/>
      <c r="FI14" s="100"/>
      <c r="FJ14" s="722" t="s">
        <v>4</v>
      </c>
    </row>
    <row r="15" spans="1:166" ht="15" customHeight="1" x14ac:dyDescent="0.25">
      <c r="A15" s="688">
        <v>2006</v>
      </c>
      <c r="B15" s="1"/>
      <c r="C15" s="689">
        <v>2006</v>
      </c>
      <c r="D15" s="690">
        <v>10.1</v>
      </c>
      <c r="E15" s="691">
        <v>12.4</v>
      </c>
      <c r="F15" s="692">
        <f t="shared" si="30"/>
        <v>1.1881188118811881</v>
      </c>
      <c r="G15" s="693">
        <f t="shared" si="31"/>
        <v>0.96774193548387089</v>
      </c>
      <c r="H15" s="694">
        <v>10.1</v>
      </c>
      <c r="I15" s="691">
        <v>12.4</v>
      </c>
      <c r="J15" s="692">
        <f t="shared" si="32"/>
        <v>1.1881188118811881</v>
      </c>
      <c r="K15" s="693">
        <f t="shared" si="33"/>
        <v>0.96774193548387089</v>
      </c>
      <c r="L15" s="690">
        <v>10.1</v>
      </c>
      <c r="M15" s="691">
        <v>12.4</v>
      </c>
      <c r="N15" s="692">
        <f t="shared" si="34"/>
        <v>1.1881188118811881</v>
      </c>
      <c r="O15" s="693">
        <f t="shared" si="35"/>
        <v>0.96774193548387089</v>
      </c>
      <c r="P15" s="694">
        <v>10.1</v>
      </c>
      <c r="Q15" s="691">
        <v>9.1999999999999993</v>
      </c>
      <c r="R15" s="692">
        <f t="shared" si="36"/>
        <v>1.1881188118811881</v>
      </c>
      <c r="S15" s="693">
        <f t="shared" si="37"/>
        <v>1.3043478260869565</v>
      </c>
      <c r="T15" s="695">
        <v>10.1</v>
      </c>
      <c r="U15" s="696">
        <v>10.3</v>
      </c>
      <c r="V15" s="692">
        <f t="shared" si="38"/>
        <v>1.1881188118811881</v>
      </c>
      <c r="W15" s="693">
        <f t="shared" si="39"/>
        <v>1.1650485436893203</v>
      </c>
      <c r="X15" s="697"/>
      <c r="Y15" s="691"/>
      <c r="Z15" s="692"/>
      <c r="AA15" s="693"/>
      <c r="AB15" s="697"/>
      <c r="AC15" s="691"/>
      <c r="AD15" s="692"/>
      <c r="AE15" s="693"/>
      <c r="AF15" s="697">
        <v>9.5</v>
      </c>
      <c r="AG15" s="691">
        <v>9.6999999999999993</v>
      </c>
      <c r="AH15" s="698">
        <f t="shared" si="40"/>
        <v>1.263157894736842</v>
      </c>
      <c r="AI15" s="699">
        <f t="shared" si="41"/>
        <v>1.2371134020618557</v>
      </c>
      <c r="AJ15" s="697"/>
      <c r="AK15" s="691"/>
      <c r="AL15" s="698"/>
      <c r="AM15" s="699"/>
      <c r="AN15" s="700"/>
      <c r="AO15" s="701"/>
      <c r="AP15" s="698"/>
      <c r="AQ15" s="699"/>
      <c r="AR15" s="697">
        <v>9.3000000000000007</v>
      </c>
      <c r="AS15" s="691">
        <v>9.4</v>
      </c>
      <c r="AT15" s="698">
        <f t="shared" si="42"/>
        <v>1.2903225806451613</v>
      </c>
      <c r="AU15" s="699">
        <f t="shared" si="43"/>
        <v>1.2765957446808509</v>
      </c>
      <c r="AV15" s="697"/>
      <c r="AW15" s="691"/>
      <c r="AX15" s="698"/>
      <c r="AY15" s="699"/>
      <c r="AZ15" s="700"/>
      <c r="BA15" s="701"/>
      <c r="BB15" s="698"/>
      <c r="BC15" s="699"/>
      <c r="BD15" s="697">
        <v>9</v>
      </c>
      <c r="BE15" s="691">
        <v>9.1</v>
      </c>
      <c r="BF15" s="698">
        <f t="shared" si="44"/>
        <v>1.3333333333333333</v>
      </c>
      <c r="BG15" s="699">
        <f t="shared" si="45"/>
        <v>1.3186813186813187</v>
      </c>
      <c r="BH15" s="697"/>
      <c r="BI15" s="691"/>
      <c r="BJ15" s="698"/>
      <c r="BK15" s="699"/>
      <c r="BL15" s="702"/>
      <c r="BM15" s="701"/>
      <c r="BN15" s="698"/>
      <c r="BO15" s="699"/>
      <c r="BP15" s="703" t="s">
        <v>5</v>
      </c>
      <c r="BQ15" s="1"/>
      <c r="BR15" s="704">
        <v>10.1</v>
      </c>
      <c r="BS15" s="705">
        <v>12.4</v>
      </c>
      <c r="BT15" s="706">
        <v>6.5</v>
      </c>
      <c r="BU15" s="692">
        <f t="shared" si="46"/>
        <v>1.1881188118811881</v>
      </c>
      <c r="BV15" s="707">
        <f t="shared" si="47"/>
        <v>0.96774193548387089</v>
      </c>
      <c r="BW15" s="693">
        <f t="shared" si="48"/>
        <v>1.8461538461538463</v>
      </c>
      <c r="BX15" s="708">
        <v>10.1</v>
      </c>
      <c r="BY15" s="705">
        <v>12.4</v>
      </c>
      <c r="BZ15" s="691">
        <v>6.5</v>
      </c>
      <c r="CA15" s="692">
        <f t="shared" si="49"/>
        <v>1.1881188118811881</v>
      </c>
      <c r="CB15" s="707">
        <f t="shared" si="50"/>
        <v>0.96774193548387089</v>
      </c>
      <c r="CC15" s="693">
        <f t="shared" si="51"/>
        <v>1.8461538461538463</v>
      </c>
      <c r="CD15" s="704">
        <v>10.1</v>
      </c>
      <c r="CE15" s="705">
        <v>12.4</v>
      </c>
      <c r="CF15" s="706">
        <v>6.5</v>
      </c>
      <c r="CG15" s="692">
        <f t="shared" si="52"/>
        <v>1.1881188118811881</v>
      </c>
      <c r="CH15" s="707">
        <f t="shared" si="53"/>
        <v>0.96774193548387089</v>
      </c>
      <c r="CI15" s="693">
        <f t="shared" si="54"/>
        <v>1.8461538461538463</v>
      </c>
      <c r="CJ15" s="708">
        <v>10.1</v>
      </c>
      <c r="CK15" s="705">
        <v>12.4</v>
      </c>
      <c r="CL15" s="691">
        <v>6.5</v>
      </c>
      <c r="CM15" s="692">
        <f t="shared" si="55"/>
        <v>1.1881188118811881</v>
      </c>
      <c r="CN15" s="707">
        <f t="shared" si="56"/>
        <v>0.96774193548387089</v>
      </c>
      <c r="CO15" s="693">
        <f t="shared" si="57"/>
        <v>1.8461538461538463</v>
      </c>
      <c r="CP15" s="697">
        <v>10.1</v>
      </c>
      <c r="CQ15" s="705">
        <v>10.3</v>
      </c>
      <c r="CR15" s="691">
        <v>3.2</v>
      </c>
      <c r="CS15" s="692">
        <f t="shared" si="58"/>
        <v>1.1881188118811881</v>
      </c>
      <c r="CT15" s="707">
        <f t="shared" si="59"/>
        <v>1.1650485436893203</v>
      </c>
      <c r="CU15" s="693">
        <f t="shared" si="60"/>
        <v>1.0990621336459554</v>
      </c>
      <c r="CV15" s="697"/>
      <c r="CW15" s="705"/>
      <c r="CX15" s="691"/>
      <c r="CY15" s="692"/>
      <c r="CZ15" s="707"/>
      <c r="DA15" s="693"/>
      <c r="DB15" s="700"/>
      <c r="DC15" s="709"/>
      <c r="DD15" s="701"/>
      <c r="DE15" s="692"/>
      <c r="DF15" s="707"/>
      <c r="DG15" s="693"/>
      <c r="DH15" s="697">
        <v>9.3000000000000007</v>
      </c>
      <c r="DI15" s="705">
        <v>9.5</v>
      </c>
      <c r="DJ15" s="691">
        <v>3.1</v>
      </c>
      <c r="DK15" s="692">
        <f t="shared" si="61"/>
        <v>1.2903225806451613</v>
      </c>
      <c r="DL15" s="707">
        <f t="shared" si="62"/>
        <v>1.263157894736842</v>
      </c>
      <c r="DM15" s="693">
        <f t="shared" si="63"/>
        <v>1.1345157508603412</v>
      </c>
      <c r="DN15" s="697"/>
      <c r="DO15" s="705"/>
      <c r="DP15" s="691"/>
      <c r="DQ15" s="692"/>
      <c r="DR15" s="707"/>
      <c r="DS15" s="693"/>
      <c r="DT15" s="700"/>
      <c r="DU15" s="709"/>
      <c r="DV15" s="701"/>
      <c r="DW15" s="692"/>
      <c r="DX15" s="707"/>
      <c r="DY15" s="693"/>
      <c r="DZ15" s="697">
        <v>9</v>
      </c>
      <c r="EA15" s="705">
        <v>9.1</v>
      </c>
      <c r="EB15" s="691">
        <v>3.1</v>
      </c>
      <c r="EC15" s="692">
        <f t="shared" si="64"/>
        <v>1.3333333333333333</v>
      </c>
      <c r="ED15" s="707">
        <f t="shared" si="65"/>
        <v>1.3186813186813187</v>
      </c>
      <c r="EE15" s="693">
        <f t="shared" si="66"/>
        <v>1.1345157508603412</v>
      </c>
      <c r="EF15" s="697"/>
      <c r="EG15" s="705"/>
      <c r="EH15" s="691"/>
      <c r="EI15" s="692"/>
      <c r="EJ15" s="707"/>
      <c r="EK15" s="693"/>
      <c r="EL15" s="700"/>
      <c r="EM15" s="709"/>
      <c r="EN15" s="701"/>
      <c r="EO15" s="692"/>
      <c r="EP15" s="707"/>
      <c r="EQ15" s="693"/>
      <c r="ER15" s="697">
        <v>9</v>
      </c>
      <c r="ES15" s="705">
        <v>9.1</v>
      </c>
      <c r="ET15" s="691">
        <v>3.1</v>
      </c>
      <c r="EU15" s="692">
        <f t="shared" si="67"/>
        <v>1.3333333333333333</v>
      </c>
      <c r="EV15" s="707">
        <f t="shared" si="68"/>
        <v>1.3186813186813187</v>
      </c>
      <c r="EW15" s="693">
        <f t="shared" si="69"/>
        <v>1.1345157508603412</v>
      </c>
      <c r="EX15" s="697"/>
      <c r="EY15" s="705"/>
      <c r="EZ15" s="691"/>
      <c r="FA15" s="692"/>
      <c r="FB15" s="707"/>
      <c r="FC15" s="693"/>
      <c r="FD15" s="700"/>
      <c r="FE15" s="709"/>
      <c r="FF15" s="701"/>
      <c r="FG15" s="692"/>
      <c r="FH15" s="707"/>
      <c r="FI15" s="693"/>
      <c r="FJ15" s="703" t="s">
        <v>5</v>
      </c>
    </row>
    <row r="16" spans="1:166" ht="15" customHeight="1" x14ac:dyDescent="0.25">
      <c r="A16" s="82">
        <v>2007</v>
      </c>
      <c r="B16" s="1"/>
      <c r="C16" s="26">
        <v>2007</v>
      </c>
      <c r="D16" s="23">
        <v>10.1</v>
      </c>
      <c r="E16" s="9">
        <v>12.4</v>
      </c>
      <c r="F16" s="83">
        <f t="shared" si="30"/>
        <v>1.1881188118811881</v>
      </c>
      <c r="G16" s="84">
        <f t="shared" si="31"/>
        <v>0.96774193548387089</v>
      </c>
      <c r="H16" s="11">
        <v>10.1</v>
      </c>
      <c r="I16" s="9">
        <v>12.4</v>
      </c>
      <c r="J16" s="83">
        <f t="shared" si="32"/>
        <v>1.1881188118811881</v>
      </c>
      <c r="K16" s="84">
        <f t="shared" si="33"/>
        <v>0.96774193548387089</v>
      </c>
      <c r="L16" s="23">
        <v>10.1</v>
      </c>
      <c r="M16" s="9">
        <v>12.4</v>
      </c>
      <c r="N16" s="83">
        <f t="shared" si="34"/>
        <v>1.1881188118811881</v>
      </c>
      <c r="O16" s="84">
        <f t="shared" si="35"/>
        <v>0.96774193548387089</v>
      </c>
      <c r="P16" s="11">
        <v>10.1</v>
      </c>
      <c r="Q16" s="9">
        <v>9.1999999999999993</v>
      </c>
      <c r="R16" s="83">
        <f t="shared" si="36"/>
        <v>1.1881188118811881</v>
      </c>
      <c r="S16" s="84">
        <f t="shared" si="37"/>
        <v>1.3043478260869565</v>
      </c>
      <c r="T16" s="664">
        <v>10.1</v>
      </c>
      <c r="U16" s="665">
        <v>10.3</v>
      </c>
      <c r="V16" s="83">
        <f t="shared" si="38"/>
        <v>1.1881188118811881</v>
      </c>
      <c r="W16" s="84">
        <f t="shared" si="39"/>
        <v>1.1650485436893203</v>
      </c>
      <c r="X16" s="10"/>
      <c r="Y16" s="9"/>
      <c r="Z16" s="83"/>
      <c r="AA16" s="84"/>
      <c r="AB16" s="10"/>
      <c r="AC16" s="9"/>
      <c r="AD16" s="83"/>
      <c r="AE16" s="84"/>
      <c r="AF16" s="10">
        <v>9.5</v>
      </c>
      <c r="AG16" s="9">
        <v>9.6999999999999993</v>
      </c>
      <c r="AH16" s="65">
        <f t="shared" si="40"/>
        <v>1.263157894736842</v>
      </c>
      <c r="AI16" s="66">
        <f t="shared" si="41"/>
        <v>1.2371134020618557</v>
      </c>
      <c r="AJ16" s="10"/>
      <c r="AK16" s="9"/>
      <c r="AL16" s="65"/>
      <c r="AM16" s="66"/>
      <c r="AN16" s="426"/>
      <c r="AO16" s="427"/>
      <c r="AP16" s="65"/>
      <c r="AQ16" s="66"/>
      <c r="AR16" s="10">
        <v>9.3000000000000007</v>
      </c>
      <c r="AS16" s="9">
        <v>9.4</v>
      </c>
      <c r="AT16" s="65">
        <f t="shared" si="42"/>
        <v>1.2903225806451613</v>
      </c>
      <c r="AU16" s="66">
        <f t="shared" si="43"/>
        <v>1.2765957446808509</v>
      </c>
      <c r="AV16" s="10"/>
      <c r="AW16" s="9"/>
      <c r="AX16" s="65"/>
      <c r="AY16" s="66"/>
      <c r="AZ16" s="426"/>
      <c r="BA16" s="427"/>
      <c r="BB16" s="65"/>
      <c r="BC16" s="66"/>
      <c r="BD16" s="10">
        <v>9</v>
      </c>
      <c r="BE16" s="9">
        <v>9.1</v>
      </c>
      <c r="BF16" s="65">
        <f t="shared" si="44"/>
        <v>1.3333333333333333</v>
      </c>
      <c r="BG16" s="66">
        <f t="shared" si="45"/>
        <v>1.3186813186813187</v>
      </c>
      <c r="BH16" s="10"/>
      <c r="BI16" s="9"/>
      <c r="BJ16" s="65"/>
      <c r="BK16" s="66"/>
      <c r="BL16" s="428"/>
      <c r="BM16" s="427"/>
      <c r="BN16" s="65"/>
      <c r="BO16" s="66"/>
      <c r="BP16" s="12" t="s">
        <v>5</v>
      </c>
      <c r="BQ16" s="1"/>
      <c r="BR16" s="27">
        <v>10.1</v>
      </c>
      <c r="BS16" s="7">
        <v>12.4</v>
      </c>
      <c r="BT16" s="94">
        <v>6.5</v>
      </c>
      <c r="BU16" s="83">
        <f t="shared" si="46"/>
        <v>1.1881188118811881</v>
      </c>
      <c r="BV16" s="98">
        <f t="shared" si="47"/>
        <v>0.96774193548387089</v>
      </c>
      <c r="BW16" s="84">
        <f t="shared" si="48"/>
        <v>1.8461538461538463</v>
      </c>
      <c r="BX16" s="96">
        <v>10.1</v>
      </c>
      <c r="BY16" s="7">
        <v>12.4</v>
      </c>
      <c r="BZ16" s="9">
        <v>6.5</v>
      </c>
      <c r="CA16" s="83">
        <f t="shared" si="49"/>
        <v>1.1881188118811881</v>
      </c>
      <c r="CB16" s="98">
        <f t="shared" si="50"/>
        <v>0.96774193548387089</v>
      </c>
      <c r="CC16" s="84">
        <f t="shared" si="51"/>
        <v>1.8461538461538463</v>
      </c>
      <c r="CD16" s="27">
        <v>10.1</v>
      </c>
      <c r="CE16" s="7">
        <v>12.4</v>
      </c>
      <c r="CF16" s="94">
        <v>6.5</v>
      </c>
      <c r="CG16" s="83">
        <f t="shared" si="52"/>
        <v>1.1881188118811881</v>
      </c>
      <c r="CH16" s="98">
        <f t="shared" si="53"/>
        <v>0.96774193548387089</v>
      </c>
      <c r="CI16" s="84">
        <f t="shared" si="54"/>
        <v>1.8461538461538463</v>
      </c>
      <c r="CJ16" s="96">
        <v>10.1</v>
      </c>
      <c r="CK16" s="7">
        <v>12.4</v>
      </c>
      <c r="CL16" s="9">
        <v>6.5</v>
      </c>
      <c r="CM16" s="83">
        <f t="shared" si="55"/>
        <v>1.1881188118811881</v>
      </c>
      <c r="CN16" s="98">
        <f t="shared" si="56"/>
        <v>0.96774193548387089</v>
      </c>
      <c r="CO16" s="84">
        <f t="shared" si="57"/>
        <v>1.8461538461538463</v>
      </c>
      <c r="CP16" s="10">
        <v>10.1</v>
      </c>
      <c r="CQ16" s="7">
        <v>10.3</v>
      </c>
      <c r="CR16" s="9">
        <v>3.2</v>
      </c>
      <c r="CS16" s="83">
        <f t="shared" si="58"/>
        <v>1.1881188118811881</v>
      </c>
      <c r="CT16" s="98">
        <f t="shared" si="59"/>
        <v>1.1650485436893203</v>
      </c>
      <c r="CU16" s="84">
        <f t="shared" si="60"/>
        <v>1.0990621336459554</v>
      </c>
      <c r="CV16" s="10"/>
      <c r="CW16" s="7"/>
      <c r="CX16" s="9"/>
      <c r="CY16" s="83"/>
      <c r="CZ16" s="98"/>
      <c r="DA16" s="84"/>
      <c r="DB16" s="426"/>
      <c r="DC16" s="429"/>
      <c r="DD16" s="427"/>
      <c r="DE16" s="83"/>
      <c r="DF16" s="98"/>
      <c r="DG16" s="84"/>
      <c r="DH16" s="10">
        <v>9.3000000000000007</v>
      </c>
      <c r="DI16" s="7">
        <v>9.5</v>
      </c>
      <c r="DJ16" s="9">
        <v>3.1</v>
      </c>
      <c r="DK16" s="83">
        <f t="shared" si="61"/>
        <v>1.2903225806451613</v>
      </c>
      <c r="DL16" s="98">
        <f t="shared" si="62"/>
        <v>1.263157894736842</v>
      </c>
      <c r="DM16" s="84">
        <f t="shared" si="63"/>
        <v>1.1345157508603412</v>
      </c>
      <c r="DN16" s="10"/>
      <c r="DO16" s="7"/>
      <c r="DP16" s="9"/>
      <c r="DQ16" s="83"/>
      <c r="DR16" s="98"/>
      <c r="DS16" s="84"/>
      <c r="DT16" s="426"/>
      <c r="DU16" s="429"/>
      <c r="DV16" s="427"/>
      <c r="DW16" s="83"/>
      <c r="DX16" s="98"/>
      <c r="DY16" s="84"/>
      <c r="DZ16" s="10">
        <v>9</v>
      </c>
      <c r="EA16" s="7">
        <v>9.1</v>
      </c>
      <c r="EB16" s="9">
        <v>3.1</v>
      </c>
      <c r="EC16" s="83">
        <f t="shared" si="64"/>
        <v>1.3333333333333333</v>
      </c>
      <c r="ED16" s="98">
        <f t="shared" si="65"/>
        <v>1.3186813186813187</v>
      </c>
      <c r="EE16" s="84">
        <f t="shared" si="66"/>
        <v>1.1345157508603412</v>
      </c>
      <c r="EF16" s="10"/>
      <c r="EG16" s="7"/>
      <c r="EH16" s="9"/>
      <c r="EI16" s="83"/>
      <c r="EJ16" s="98"/>
      <c r="EK16" s="84"/>
      <c r="EL16" s="426"/>
      <c r="EM16" s="429"/>
      <c r="EN16" s="427"/>
      <c r="EO16" s="83"/>
      <c r="EP16" s="98"/>
      <c r="EQ16" s="84"/>
      <c r="ER16" s="10">
        <v>9</v>
      </c>
      <c r="ES16" s="7">
        <v>9.1</v>
      </c>
      <c r="ET16" s="9">
        <v>3.1</v>
      </c>
      <c r="EU16" s="83">
        <f t="shared" si="67"/>
        <v>1.3333333333333333</v>
      </c>
      <c r="EV16" s="98">
        <f t="shared" si="68"/>
        <v>1.3186813186813187</v>
      </c>
      <c r="EW16" s="84">
        <f t="shared" si="69"/>
        <v>1.1345157508603412</v>
      </c>
      <c r="EX16" s="10"/>
      <c r="EY16" s="7"/>
      <c r="EZ16" s="9"/>
      <c r="FA16" s="83"/>
      <c r="FB16" s="98"/>
      <c r="FC16" s="84"/>
      <c r="FD16" s="426"/>
      <c r="FE16" s="429"/>
      <c r="FF16" s="427"/>
      <c r="FG16" s="83"/>
      <c r="FH16" s="98"/>
      <c r="FI16" s="84"/>
      <c r="FJ16" s="12" t="s">
        <v>5</v>
      </c>
    </row>
    <row r="17" spans="1:166" ht="15" customHeight="1" x14ac:dyDescent="0.25">
      <c r="A17" s="82">
        <v>2008</v>
      </c>
      <c r="B17" s="1"/>
      <c r="C17" s="26">
        <v>2008</v>
      </c>
      <c r="D17" s="23">
        <v>10.1</v>
      </c>
      <c r="E17" s="9">
        <v>12.4</v>
      </c>
      <c r="F17" s="83">
        <f t="shared" si="30"/>
        <v>1.1881188118811881</v>
      </c>
      <c r="G17" s="84">
        <f t="shared" si="31"/>
        <v>0.96774193548387089</v>
      </c>
      <c r="H17" s="11">
        <v>10.1</v>
      </c>
      <c r="I17" s="9">
        <v>12.4</v>
      </c>
      <c r="J17" s="83">
        <f t="shared" si="32"/>
        <v>1.1881188118811881</v>
      </c>
      <c r="K17" s="84">
        <f t="shared" si="33"/>
        <v>0.96774193548387089</v>
      </c>
      <c r="L17" s="23">
        <v>10.1</v>
      </c>
      <c r="M17" s="9">
        <v>12.4</v>
      </c>
      <c r="N17" s="83">
        <f t="shared" si="34"/>
        <v>1.1881188118811881</v>
      </c>
      <c r="O17" s="84">
        <f t="shared" si="35"/>
        <v>0.96774193548387089</v>
      </c>
      <c r="P17" s="11">
        <v>10.1</v>
      </c>
      <c r="Q17" s="9">
        <v>12.4</v>
      </c>
      <c r="R17" s="83">
        <f t="shared" si="36"/>
        <v>1.1881188118811881</v>
      </c>
      <c r="S17" s="84">
        <f t="shared" si="37"/>
        <v>0.96774193548387089</v>
      </c>
      <c r="T17" s="664">
        <v>10.1</v>
      </c>
      <c r="U17" s="665">
        <v>10.3</v>
      </c>
      <c r="V17" s="83">
        <f t="shared" si="38"/>
        <v>1.1881188118811881</v>
      </c>
      <c r="W17" s="84">
        <f t="shared" si="39"/>
        <v>1.1650485436893203</v>
      </c>
      <c r="X17" s="10"/>
      <c r="Y17" s="9"/>
      <c r="Z17" s="83"/>
      <c r="AA17" s="84"/>
      <c r="AB17" s="10"/>
      <c r="AC17" s="9"/>
      <c r="AD17" s="83"/>
      <c r="AE17" s="84"/>
      <c r="AF17" s="10">
        <v>9.5</v>
      </c>
      <c r="AG17" s="9">
        <v>9.6999999999999993</v>
      </c>
      <c r="AH17" s="65">
        <f t="shared" si="40"/>
        <v>1.263157894736842</v>
      </c>
      <c r="AI17" s="66">
        <f t="shared" si="41"/>
        <v>1.2371134020618557</v>
      </c>
      <c r="AJ17" s="10"/>
      <c r="AK17" s="9"/>
      <c r="AL17" s="65"/>
      <c r="AM17" s="66"/>
      <c r="AN17" s="426"/>
      <c r="AO17" s="427"/>
      <c r="AP17" s="65"/>
      <c r="AQ17" s="66"/>
      <c r="AR17" s="10">
        <v>9.3000000000000007</v>
      </c>
      <c r="AS17" s="9">
        <v>9.4</v>
      </c>
      <c r="AT17" s="65">
        <f t="shared" si="42"/>
        <v>1.2903225806451613</v>
      </c>
      <c r="AU17" s="66">
        <f t="shared" si="43"/>
        <v>1.2765957446808509</v>
      </c>
      <c r="AV17" s="10"/>
      <c r="AW17" s="9"/>
      <c r="AX17" s="65"/>
      <c r="AY17" s="66"/>
      <c r="AZ17" s="426"/>
      <c r="BA17" s="427"/>
      <c r="BB17" s="65"/>
      <c r="BC17" s="66"/>
      <c r="BD17" s="10">
        <v>9</v>
      </c>
      <c r="BE17" s="9">
        <v>9.1</v>
      </c>
      <c r="BF17" s="65">
        <f t="shared" si="44"/>
        <v>1.3333333333333333</v>
      </c>
      <c r="BG17" s="66">
        <f t="shared" si="45"/>
        <v>1.3186813186813187</v>
      </c>
      <c r="BH17" s="10"/>
      <c r="BI17" s="9"/>
      <c r="BJ17" s="65"/>
      <c r="BK17" s="66"/>
      <c r="BL17" s="428"/>
      <c r="BM17" s="427"/>
      <c r="BN17" s="65"/>
      <c r="BO17" s="66"/>
      <c r="BP17" s="12" t="s">
        <v>168</v>
      </c>
      <c r="BQ17" s="1"/>
      <c r="BR17" s="27">
        <v>10.1</v>
      </c>
      <c r="BS17" s="7">
        <v>12.4</v>
      </c>
      <c r="BT17" s="94">
        <v>6.5</v>
      </c>
      <c r="BU17" s="83">
        <f t="shared" si="46"/>
        <v>1.1881188118811881</v>
      </c>
      <c r="BV17" s="98">
        <f t="shared" si="47"/>
        <v>0.96774193548387089</v>
      </c>
      <c r="BW17" s="84">
        <f t="shared" si="48"/>
        <v>1.8461538461538463</v>
      </c>
      <c r="BX17" s="96">
        <v>10.1</v>
      </c>
      <c r="BY17" s="7">
        <v>12.4</v>
      </c>
      <c r="BZ17" s="9">
        <v>6.5</v>
      </c>
      <c r="CA17" s="83">
        <f t="shared" si="49"/>
        <v>1.1881188118811881</v>
      </c>
      <c r="CB17" s="98">
        <f t="shared" si="50"/>
        <v>0.96774193548387089</v>
      </c>
      <c r="CC17" s="84">
        <f t="shared" si="51"/>
        <v>1.8461538461538463</v>
      </c>
      <c r="CD17" s="27">
        <v>10.1</v>
      </c>
      <c r="CE17" s="7">
        <v>12.4</v>
      </c>
      <c r="CF17" s="94">
        <v>6.5</v>
      </c>
      <c r="CG17" s="83">
        <f t="shared" si="52"/>
        <v>1.1881188118811881</v>
      </c>
      <c r="CH17" s="98">
        <f t="shared" si="53"/>
        <v>0.96774193548387089</v>
      </c>
      <c r="CI17" s="84">
        <f t="shared" si="54"/>
        <v>1.8461538461538463</v>
      </c>
      <c r="CJ17" s="96">
        <v>10.1</v>
      </c>
      <c r="CK17" s="7">
        <v>12.4</v>
      </c>
      <c r="CL17" s="9">
        <v>6.5</v>
      </c>
      <c r="CM17" s="83">
        <f t="shared" si="55"/>
        <v>1.1881188118811881</v>
      </c>
      <c r="CN17" s="98">
        <f t="shared" si="56"/>
        <v>0.96774193548387089</v>
      </c>
      <c r="CO17" s="84">
        <f t="shared" si="57"/>
        <v>1.8461538461538463</v>
      </c>
      <c r="CP17" s="10">
        <v>10.1</v>
      </c>
      <c r="CQ17" s="7">
        <v>10.3</v>
      </c>
      <c r="CR17" s="9">
        <v>3.2</v>
      </c>
      <c r="CS17" s="83">
        <f t="shared" si="58"/>
        <v>1.1881188118811881</v>
      </c>
      <c r="CT17" s="98">
        <f t="shared" si="59"/>
        <v>1.1650485436893203</v>
      </c>
      <c r="CU17" s="84">
        <f t="shared" si="60"/>
        <v>1.0990621336459554</v>
      </c>
      <c r="CV17" s="10"/>
      <c r="CW17" s="7"/>
      <c r="CX17" s="9"/>
      <c r="CY17" s="83"/>
      <c r="CZ17" s="98"/>
      <c r="DA17" s="84"/>
      <c r="DB17" s="426"/>
      <c r="DC17" s="429"/>
      <c r="DD17" s="427"/>
      <c r="DE17" s="83"/>
      <c r="DF17" s="98"/>
      <c r="DG17" s="84"/>
      <c r="DH17" s="10">
        <v>9.3000000000000007</v>
      </c>
      <c r="DI17" s="7">
        <v>9.5</v>
      </c>
      <c r="DJ17" s="9">
        <v>3.1</v>
      </c>
      <c r="DK17" s="83">
        <f t="shared" si="61"/>
        <v>1.2903225806451613</v>
      </c>
      <c r="DL17" s="98">
        <f t="shared" si="62"/>
        <v>1.263157894736842</v>
      </c>
      <c r="DM17" s="84">
        <f t="shared" si="63"/>
        <v>1.1345157508603412</v>
      </c>
      <c r="DN17" s="10"/>
      <c r="DO17" s="7"/>
      <c r="DP17" s="9"/>
      <c r="DQ17" s="83"/>
      <c r="DR17" s="98"/>
      <c r="DS17" s="84"/>
      <c r="DT17" s="426"/>
      <c r="DU17" s="429"/>
      <c r="DV17" s="427"/>
      <c r="DW17" s="83"/>
      <c r="DX17" s="98"/>
      <c r="DY17" s="84"/>
      <c r="DZ17" s="10">
        <v>9</v>
      </c>
      <c r="EA17" s="7">
        <v>9.1</v>
      </c>
      <c r="EB17" s="9">
        <v>3.1</v>
      </c>
      <c r="EC17" s="83">
        <f t="shared" si="64"/>
        <v>1.3333333333333333</v>
      </c>
      <c r="ED17" s="98">
        <f t="shared" si="65"/>
        <v>1.3186813186813187</v>
      </c>
      <c r="EE17" s="84">
        <f t="shared" si="66"/>
        <v>1.1345157508603412</v>
      </c>
      <c r="EF17" s="10"/>
      <c r="EG17" s="7"/>
      <c r="EH17" s="9"/>
      <c r="EI17" s="83"/>
      <c r="EJ17" s="98"/>
      <c r="EK17" s="84"/>
      <c r="EL17" s="426"/>
      <c r="EM17" s="429"/>
      <c r="EN17" s="427"/>
      <c r="EO17" s="83"/>
      <c r="EP17" s="98"/>
      <c r="EQ17" s="84"/>
      <c r="ER17" s="10">
        <v>9</v>
      </c>
      <c r="ES17" s="7">
        <v>9.1</v>
      </c>
      <c r="ET17" s="9">
        <v>3.1</v>
      </c>
      <c r="EU17" s="83">
        <f t="shared" si="67"/>
        <v>1.3333333333333333</v>
      </c>
      <c r="EV17" s="98">
        <f t="shared" si="68"/>
        <v>1.3186813186813187</v>
      </c>
      <c r="EW17" s="84">
        <f t="shared" si="69"/>
        <v>1.1345157508603412</v>
      </c>
      <c r="EX17" s="10"/>
      <c r="EY17" s="7"/>
      <c r="EZ17" s="9"/>
      <c r="FA17" s="83"/>
      <c r="FB17" s="98"/>
      <c r="FC17" s="84"/>
      <c r="FD17" s="426"/>
      <c r="FE17" s="429"/>
      <c r="FF17" s="427"/>
      <c r="FG17" s="83"/>
      <c r="FH17" s="98"/>
      <c r="FI17" s="84"/>
      <c r="FJ17" s="12" t="s">
        <v>12</v>
      </c>
    </row>
    <row r="18" spans="1:166" s="728" customFormat="1" ht="15" customHeight="1" thickBot="1" x14ac:dyDescent="0.3">
      <c r="A18" s="710">
        <v>2009</v>
      </c>
      <c r="B18" s="711"/>
      <c r="C18" s="712">
        <v>2009</v>
      </c>
      <c r="D18" s="713">
        <v>10.1</v>
      </c>
      <c r="E18" s="714">
        <v>12.4</v>
      </c>
      <c r="F18" s="99">
        <f t="shared" si="30"/>
        <v>1.1881188118811881</v>
      </c>
      <c r="G18" s="100">
        <f t="shared" si="31"/>
        <v>0.96774193548387089</v>
      </c>
      <c r="H18" s="715">
        <v>10.1</v>
      </c>
      <c r="I18" s="714">
        <v>12.4</v>
      </c>
      <c r="J18" s="99">
        <f t="shared" si="32"/>
        <v>1.1881188118811881</v>
      </c>
      <c r="K18" s="100">
        <f t="shared" si="33"/>
        <v>0.96774193548387089</v>
      </c>
      <c r="L18" s="713">
        <v>10.1</v>
      </c>
      <c r="M18" s="714">
        <v>12.4</v>
      </c>
      <c r="N18" s="99">
        <f t="shared" si="34"/>
        <v>1.1881188118811881</v>
      </c>
      <c r="O18" s="100">
        <f t="shared" si="35"/>
        <v>0.96774193548387089</v>
      </c>
      <c r="P18" s="715">
        <v>10.1</v>
      </c>
      <c r="Q18" s="714">
        <v>12.4</v>
      </c>
      <c r="R18" s="99">
        <f t="shared" si="36"/>
        <v>1.1881188118811881</v>
      </c>
      <c r="S18" s="100">
        <f t="shared" si="37"/>
        <v>0.96774193548387089</v>
      </c>
      <c r="T18" s="716">
        <v>10.1</v>
      </c>
      <c r="U18" s="717">
        <v>10.3</v>
      </c>
      <c r="V18" s="99">
        <f t="shared" si="38"/>
        <v>1.1881188118811881</v>
      </c>
      <c r="W18" s="100">
        <f t="shared" si="39"/>
        <v>1.1650485436893203</v>
      </c>
      <c r="X18" s="718"/>
      <c r="Y18" s="714"/>
      <c r="Z18" s="99"/>
      <c r="AA18" s="100"/>
      <c r="AB18" s="718"/>
      <c r="AC18" s="714"/>
      <c r="AD18" s="99"/>
      <c r="AE18" s="100"/>
      <c r="AF18" s="718">
        <v>9.5</v>
      </c>
      <c r="AG18" s="714">
        <v>9.6999999999999993</v>
      </c>
      <c r="AH18" s="101">
        <f t="shared" si="40"/>
        <v>1.263157894736842</v>
      </c>
      <c r="AI18" s="102">
        <f t="shared" si="41"/>
        <v>1.2371134020618557</v>
      </c>
      <c r="AJ18" s="718"/>
      <c r="AK18" s="714"/>
      <c r="AL18" s="101"/>
      <c r="AM18" s="102"/>
      <c r="AN18" s="719"/>
      <c r="AO18" s="720"/>
      <c r="AP18" s="101"/>
      <c r="AQ18" s="102"/>
      <c r="AR18" s="718">
        <v>9.3000000000000007</v>
      </c>
      <c r="AS18" s="714">
        <v>9.4</v>
      </c>
      <c r="AT18" s="101">
        <f t="shared" si="42"/>
        <v>1.2903225806451613</v>
      </c>
      <c r="AU18" s="102">
        <f t="shared" si="43"/>
        <v>1.2765957446808509</v>
      </c>
      <c r="AV18" s="718"/>
      <c r="AW18" s="714"/>
      <c r="AX18" s="101"/>
      <c r="AY18" s="102"/>
      <c r="AZ18" s="719"/>
      <c r="BA18" s="720"/>
      <c r="BB18" s="101"/>
      <c r="BC18" s="102"/>
      <c r="BD18" s="718">
        <v>9</v>
      </c>
      <c r="BE18" s="714">
        <v>9.1</v>
      </c>
      <c r="BF18" s="101">
        <f t="shared" si="44"/>
        <v>1.3333333333333333</v>
      </c>
      <c r="BG18" s="102">
        <f t="shared" si="45"/>
        <v>1.3186813186813187</v>
      </c>
      <c r="BH18" s="718"/>
      <c r="BI18" s="714"/>
      <c r="BJ18" s="101"/>
      <c r="BK18" s="102"/>
      <c r="BL18" s="721"/>
      <c r="BM18" s="720"/>
      <c r="BN18" s="101"/>
      <c r="BO18" s="102"/>
      <c r="BP18" s="722" t="s">
        <v>168</v>
      </c>
      <c r="BQ18" s="711"/>
      <c r="BR18" s="22">
        <v>10.1</v>
      </c>
      <c r="BS18" s="723">
        <v>12.4</v>
      </c>
      <c r="BT18" s="724">
        <v>6.5</v>
      </c>
      <c r="BU18" s="99">
        <f t="shared" si="46"/>
        <v>1.1881188118811881</v>
      </c>
      <c r="BV18" s="725">
        <f t="shared" si="47"/>
        <v>0.96774193548387089</v>
      </c>
      <c r="BW18" s="100">
        <f t="shared" si="48"/>
        <v>1.8461538461538463</v>
      </c>
      <c r="BX18" s="726">
        <v>10.1</v>
      </c>
      <c r="BY18" s="723">
        <v>12.4</v>
      </c>
      <c r="BZ18" s="714">
        <v>6.5</v>
      </c>
      <c r="CA18" s="99">
        <f t="shared" si="49"/>
        <v>1.1881188118811881</v>
      </c>
      <c r="CB18" s="725">
        <f t="shared" si="50"/>
        <v>0.96774193548387089</v>
      </c>
      <c r="CC18" s="100">
        <f t="shared" si="51"/>
        <v>1.8461538461538463</v>
      </c>
      <c r="CD18" s="22">
        <v>10.1</v>
      </c>
      <c r="CE18" s="723">
        <v>12.4</v>
      </c>
      <c r="CF18" s="724">
        <v>6.5</v>
      </c>
      <c r="CG18" s="99">
        <f t="shared" si="52"/>
        <v>1.1881188118811881</v>
      </c>
      <c r="CH18" s="725">
        <f t="shared" si="53"/>
        <v>0.96774193548387089</v>
      </c>
      <c r="CI18" s="100">
        <f t="shared" si="54"/>
        <v>1.8461538461538463</v>
      </c>
      <c r="CJ18" s="726">
        <v>10.1</v>
      </c>
      <c r="CK18" s="723">
        <v>12.4</v>
      </c>
      <c r="CL18" s="714">
        <v>6.5</v>
      </c>
      <c r="CM18" s="99">
        <f t="shared" si="55"/>
        <v>1.1881188118811881</v>
      </c>
      <c r="CN18" s="725">
        <f t="shared" si="56"/>
        <v>0.96774193548387089</v>
      </c>
      <c r="CO18" s="100">
        <f t="shared" si="57"/>
        <v>1.8461538461538463</v>
      </c>
      <c r="CP18" s="718">
        <v>10.1</v>
      </c>
      <c r="CQ18" s="723">
        <v>10.3</v>
      </c>
      <c r="CR18" s="714">
        <v>3.2</v>
      </c>
      <c r="CS18" s="99">
        <f t="shared" si="58"/>
        <v>1.1881188118811881</v>
      </c>
      <c r="CT18" s="725">
        <f t="shared" si="59"/>
        <v>1.1650485436893203</v>
      </c>
      <c r="CU18" s="100">
        <f t="shared" si="60"/>
        <v>1.0990621336459554</v>
      </c>
      <c r="CV18" s="718"/>
      <c r="CW18" s="723"/>
      <c r="CX18" s="714"/>
      <c r="CY18" s="99"/>
      <c r="CZ18" s="725"/>
      <c r="DA18" s="100"/>
      <c r="DB18" s="719"/>
      <c r="DC18" s="727"/>
      <c r="DD18" s="720"/>
      <c r="DE18" s="99"/>
      <c r="DF18" s="725"/>
      <c r="DG18" s="100"/>
      <c r="DH18" s="718">
        <v>9.3000000000000007</v>
      </c>
      <c r="DI18" s="723">
        <v>9.5</v>
      </c>
      <c r="DJ18" s="714">
        <v>3.1</v>
      </c>
      <c r="DK18" s="99">
        <f t="shared" si="61"/>
        <v>1.2903225806451613</v>
      </c>
      <c r="DL18" s="725">
        <f t="shared" si="62"/>
        <v>1.263157894736842</v>
      </c>
      <c r="DM18" s="100">
        <f t="shared" si="63"/>
        <v>1.1345157508603412</v>
      </c>
      <c r="DN18" s="718"/>
      <c r="DO18" s="723"/>
      <c r="DP18" s="714"/>
      <c r="DQ18" s="99"/>
      <c r="DR18" s="725"/>
      <c r="DS18" s="100"/>
      <c r="DT18" s="719"/>
      <c r="DU18" s="727"/>
      <c r="DV18" s="720"/>
      <c r="DW18" s="99"/>
      <c r="DX18" s="725"/>
      <c r="DY18" s="100"/>
      <c r="DZ18" s="718">
        <v>9</v>
      </c>
      <c r="EA18" s="723">
        <v>9.1</v>
      </c>
      <c r="EB18" s="714">
        <v>3.1</v>
      </c>
      <c r="EC18" s="99">
        <f t="shared" si="64"/>
        <v>1.3333333333333333</v>
      </c>
      <c r="ED18" s="725">
        <f t="shared" si="65"/>
        <v>1.3186813186813187</v>
      </c>
      <c r="EE18" s="100">
        <f t="shared" si="66"/>
        <v>1.1345157508603412</v>
      </c>
      <c r="EF18" s="718"/>
      <c r="EG18" s="723"/>
      <c r="EH18" s="714"/>
      <c r="EI18" s="99"/>
      <c r="EJ18" s="725"/>
      <c r="EK18" s="100"/>
      <c r="EL18" s="719"/>
      <c r="EM18" s="727"/>
      <c r="EN18" s="720"/>
      <c r="EO18" s="99"/>
      <c r="EP18" s="725"/>
      <c r="EQ18" s="100"/>
      <c r="ER18" s="718">
        <v>9</v>
      </c>
      <c r="ES18" s="723">
        <v>9.1</v>
      </c>
      <c r="ET18" s="714">
        <v>3.1</v>
      </c>
      <c r="EU18" s="99">
        <f t="shared" si="67"/>
        <v>1.3333333333333333</v>
      </c>
      <c r="EV18" s="725">
        <f t="shared" si="68"/>
        <v>1.3186813186813187</v>
      </c>
      <c r="EW18" s="100">
        <f t="shared" si="69"/>
        <v>1.1345157508603412</v>
      </c>
      <c r="EX18" s="718"/>
      <c r="EY18" s="723"/>
      <c r="EZ18" s="714"/>
      <c r="FA18" s="99"/>
      <c r="FB18" s="725"/>
      <c r="FC18" s="100"/>
      <c r="FD18" s="719"/>
      <c r="FE18" s="727"/>
      <c r="FF18" s="720"/>
      <c r="FG18" s="99"/>
      <c r="FH18" s="725"/>
      <c r="FI18" s="100"/>
      <c r="FJ18" s="722" t="s">
        <v>13</v>
      </c>
    </row>
    <row r="19" spans="1:166" ht="15" customHeight="1" x14ac:dyDescent="0.25">
      <c r="A19" s="688">
        <v>2010</v>
      </c>
      <c r="B19" s="1"/>
      <c r="C19" s="689">
        <v>2010</v>
      </c>
      <c r="D19" s="690">
        <v>10.1</v>
      </c>
      <c r="E19" s="691">
        <v>12.4</v>
      </c>
      <c r="F19" s="692">
        <f t="shared" si="30"/>
        <v>1.1881188118811881</v>
      </c>
      <c r="G19" s="693">
        <f t="shared" si="31"/>
        <v>0.96774193548387089</v>
      </c>
      <c r="H19" s="694">
        <v>10.1</v>
      </c>
      <c r="I19" s="691">
        <v>12.4</v>
      </c>
      <c r="J19" s="692">
        <f t="shared" si="32"/>
        <v>1.1881188118811881</v>
      </c>
      <c r="K19" s="693">
        <f t="shared" si="33"/>
        <v>0.96774193548387089</v>
      </c>
      <c r="L19" s="690">
        <v>10.1</v>
      </c>
      <c r="M19" s="691">
        <v>12.4</v>
      </c>
      <c r="N19" s="692">
        <f t="shared" si="34"/>
        <v>1.1881188118811881</v>
      </c>
      <c r="O19" s="693">
        <f t="shared" si="35"/>
        <v>0.96774193548387089</v>
      </c>
      <c r="P19" s="694">
        <v>10.1</v>
      </c>
      <c r="Q19" s="691">
        <v>12.4</v>
      </c>
      <c r="R19" s="692">
        <f t="shared" si="36"/>
        <v>1.1881188118811881</v>
      </c>
      <c r="S19" s="693">
        <f t="shared" si="37"/>
        <v>0.96774193548387089</v>
      </c>
      <c r="T19" s="695">
        <v>11</v>
      </c>
      <c r="U19" s="696">
        <v>11.2</v>
      </c>
      <c r="V19" s="692">
        <f t="shared" si="38"/>
        <v>1.0909090909090908</v>
      </c>
      <c r="W19" s="693">
        <f t="shared" si="39"/>
        <v>1.0714285714285714</v>
      </c>
      <c r="X19" s="697"/>
      <c r="Y19" s="691"/>
      <c r="Z19" s="692"/>
      <c r="AA19" s="693"/>
      <c r="AB19" s="697"/>
      <c r="AC19" s="691"/>
      <c r="AD19" s="692"/>
      <c r="AE19" s="693"/>
      <c r="AF19" s="697">
        <v>10.8</v>
      </c>
      <c r="AG19" s="691">
        <v>11</v>
      </c>
      <c r="AH19" s="698">
        <f t="shared" si="40"/>
        <v>1.1111111111111109</v>
      </c>
      <c r="AI19" s="699">
        <f t="shared" si="41"/>
        <v>1.0909090909090908</v>
      </c>
      <c r="AJ19" s="697"/>
      <c r="AK19" s="691"/>
      <c r="AL19" s="698"/>
      <c r="AM19" s="699"/>
      <c r="AN19" s="700"/>
      <c r="AO19" s="701"/>
      <c r="AP19" s="698"/>
      <c r="AQ19" s="699"/>
      <c r="AR19" s="697">
        <v>9.8000000000000007</v>
      </c>
      <c r="AS19" s="691">
        <v>9.9</v>
      </c>
      <c r="AT19" s="698">
        <f t="shared" si="42"/>
        <v>1.2244897959183672</v>
      </c>
      <c r="AU19" s="699">
        <f t="shared" si="43"/>
        <v>1.2121212121212122</v>
      </c>
      <c r="AV19" s="697"/>
      <c r="AW19" s="691"/>
      <c r="AX19" s="698"/>
      <c r="AY19" s="699"/>
      <c r="AZ19" s="700"/>
      <c r="BA19" s="701"/>
      <c r="BB19" s="698"/>
      <c r="BC19" s="699"/>
      <c r="BD19" s="697">
        <v>9.5</v>
      </c>
      <c r="BE19" s="691">
        <v>9.6</v>
      </c>
      <c r="BF19" s="698">
        <f t="shared" si="44"/>
        <v>1.263157894736842</v>
      </c>
      <c r="BG19" s="699">
        <f t="shared" si="45"/>
        <v>1.25</v>
      </c>
      <c r="BH19" s="697"/>
      <c r="BI19" s="691"/>
      <c r="BJ19" s="698"/>
      <c r="BK19" s="699"/>
      <c r="BL19" s="702"/>
      <c r="BM19" s="701"/>
      <c r="BN19" s="698"/>
      <c r="BO19" s="699"/>
      <c r="BP19" s="703" t="s">
        <v>168</v>
      </c>
      <c r="BQ19" s="1"/>
      <c r="BR19" s="704">
        <v>10.1</v>
      </c>
      <c r="BS19" s="705">
        <v>12.4</v>
      </c>
      <c r="BT19" s="706">
        <v>6.5</v>
      </c>
      <c r="BU19" s="692">
        <f t="shared" si="46"/>
        <v>1.1881188118811881</v>
      </c>
      <c r="BV19" s="707">
        <f t="shared" si="47"/>
        <v>0.96774193548387089</v>
      </c>
      <c r="BW19" s="693">
        <f t="shared" si="48"/>
        <v>1.8461538461538463</v>
      </c>
      <c r="BX19" s="708">
        <v>10.1</v>
      </c>
      <c r="BY19" s="705">
        <v>12.4</v>
      </c>
      <c r="BZ19" s="691">
        <v>6.5</v>
      </c>
      <c r="CA19" s="692">
        <f t="shared" si="49"/>
        <v>1.1881188118811881</v>
      </c>
      <c r="CB19" s="707">
        <f t="shared" si="50"/>
        <v>0.96774193548387089</v>
      </c>
      <c r="CC19" s="693">
        <f t="shared" si="51"/>
        <v>1.8461538461538463</v>
      </c>
      <c r="CD19" s="704">
        <v>10.1</v>
      </c>
      <c r="CE19" s="705">
        <v>12.4</v>
      </c>
      <c r="CF19" s="706">
        <v>6.5</v>
      </c>
      <c r="CG19" s="692">
        <f t="shared" si="52"/>
        <v>1.1881188118811881</v>
      </c>
      <c r="CH19" s="707">
        <f t="shared" si="53"/>
        <v>0.96774193548387089</v>
      </c>
      <c r="CI19" s="693">
        <f t="shared" si="54"/>
        <v>1.8461538461538463</v>
      </c>
      <c r="CJ19" s="708">
        <v>10.1</v>
      </c>
      <c r="CK19" s="705">
        <v>12.4</v>
      </c>
      <c r="CL19" s="691">
        <v>6.5</v>
      </c>
      <c r="CM19" s="692">
        <f t="shared" si="55"/>
        <v>1.1881188118811881</v>
      </c>
      <c r="CN19" s="707">
        <f t="shared" si="56"/>
        <v>0.96774193548387089</v>
      </c>
      <c r="CO19" s="693">
        <f t="shared" si="57"/>
        <v>1.8461538461538463</v>
      </c>
      <c r="CP19" s="694">
        <v>11</v>
      </c>
      <c r="CQ19" s="729">
        <v>11.2</v>
      </c>
      <c r="CR19" s="691">
        <v>3.3</v>
      </c>
      <c r="CS19" s="692">
        <f t="shared" si="58"/>
        <v>1.0909090909090908</v>
      </c>
      <c r="CT19" s="707">
        <f t="shared" si="59"/>
        <v>1.0714285714285714</v>
      </c>
      <c r="CU19" s="693">
        <f t="shared" si="60"/>
        <v>1.0657572205051691</v>
      </c>
      <c r="CV19" s="697"/>
      <c r="CW19" s="705"/>
      <c r="CX19" s="691"/>
      <c r="CY19" s="692"/>
      <c r="CZ19" s="707"/>
      <c r="DA19" s="693"/>
      <c r="DB19" s="700"/>
      <c r="DC19" s="709"/>
      <c r="DD19" s="701"/>
      <c r="DE19" s="692"/>
      <c r="DF19" s="707"/>
      <c r="DG19" s="693"/>
      <c r="DH19" s="697">
        <v>10.6</v>
      </c>
      <c r="DI19" s="729">
        <v>10.7</v>
      </c>
      <c r="DJ19" s="691">
        <v>3.2</v>
      </c>
      <c r="DK19" s="692">
        <f t="shared" si="61"/>
        <v>1.1320754716981132</v>
      </c>
      <c r="DL19" s="707">
        <f t="shared" si="62"/>
        <v>1.1214953271028039</v>
      </c>
      <c r="DM19" s="693">
        <f t="shared" si="63"/>
        <v>1.0990621336459554</v>
      </c>
      <c r="DN19" s="697"/>
      <c r="DO19" s="705"/>
      <c r="DP19" s="691"/>
      <c r="DQ19" s="692"/>
      <c r="DR19" s="707"/>
      <c r="DS19" s="693"/>
      <c r="DT19" s="700"/>
      <c r="DU19" s="709"/>
      <c r="DV19" s="701"/>
      <c r="DW19" s="692"/>
      <c r="DX19" s="707"/>
      <c r="DY19" s="693"/>
      <c r="DZ19" s="697">
        <v>9.5</v>
      </c>
      <c r="EA19" s="705">
        <v>9.6</v>
      </c>
      <c r="EB19" s="730">
        <v>3.2</v>
      </c>
      <c r="EC19" s="692">
        <f t="shared" si="64"/>
        <v>1.263157894736842</v>
      </c>
      <c r="ED19" s="707">
        <f t="shared" si="65"/>
        <v>1.25</v>
      </c>
      <c r="EE19" s="693">
        <f t="shared" si="66"/>
        <v>1.0990621336459554</v>
      </c>
      <c r="EF19" s="697"/>
      <c r="EG19" s="705"/>
      <c r="EH19" s="691"/>
      <c r="EI19" s="692"/>
      <c r="EJ19" s="707"/>
      <c r="EK19" s="693"/>
      <c r="EL19" s="700"/>
      <c r="EM19" s="709"/>
      <c r="EN19" s="701"/>
      <c r="EO19" s="692"/>
      <c r="EP19" s="707"/>
      <c r="EQ19" s="693"/>
      <c r="ER19" s="697">
        <v>9.5</v>
      </c>
      <c r="ES19" s="705">
        <v>9.6</v>
      </c>
      <c r="ET19" s="730">
        <v>3.2</v>
      </c>
      <c r="EU19" s="692">
        <f t="shared" si="67"/>
        <v>1.263157894736842</v>
      </c>
      <c r="EV19" s="707">
        <f t="shared" si="68"/>
        <v>1.25</v>
      </c>
      <c r="EW19" s="693">
        <f t="shared" si="69"/>
        <v>1.0990621336459554</v>
      </c>
      <c r="EX19" s="697"/>
      <c r="EY19" s="705"/>
      <c r="EZ19" s="691"/>
      <c r="FA19" s="692"/>
      <c r="FB19" s="707"/>
      <c r="FC19" s="693"/>
      <c r="FD19" s="700"/>
      <c r="FE19" s="709"/>
      <c r="FF19" s="701"/>
      <c r="FG19" s="692"/>
      <c r="FH19" s="707"/>
      <c r="FI19" s="693"/>
      <c r="FJ19" s="703" t="s">
        <v>13</v>
      </c>
    </row>
    <row r="20" spans="1:166" ht="15" customHeight="1" x14ac:dyDescent="0.25">
      <c r="A20" s="82">
        <v>2011</v>
      </c>
      <c r="B20" s="1"/>
      <c r="C20" s="26">
        <v>2011</v>
      </c>
      <c r="D20" s="23">
        <v>10.1</v>
      </c>
      <c r="E20" s="9">
        <v>12.4</v>
      </c>
      <c r="F20" s="83">
        <f t="shared" si="30"/>
        <v>1.1881188118811881</v>
      </c>
      <c r="G20" s="84">
        <f t="shared" si="31"/>
        <v>0.96774193548387089</v>
      </c>
      <c r="H20" s="11">
        <v>10.1</v>
      </c>
      <c r="I20" s="9">
        <v>12.4</v>
      </c>
      <c r="J20" s="83">
        <f t="shared" si="32"/>
        <v>1.1881188118811881</v>
      </c>
      <c r="K20" s="84">
        <f t="shared" si="33"/>
        <v>0.96774193548387089</v>
      </c>
      <c r="L20" s="23">
        <v>10.1</v>
      </c>
      <c r="M20" s="9">
        <v>12.4</v>
      </c>
      <c r="N20" s="83">
        <f t="shared" si="34"/>
        <v>1.1881188118811881</v>
      </c>
      <c r="O20" s="84">
        <f t="shared" si="35"/>
        <v>0.96774193548387089</v>
      </c>
      <c r="P20" s="11">
        <v>10.1</v>
      </c>
      <c r="Q20" s="9">
        <v>12.4</v>
      </c>
      <c r="R20" s="83">
        <f t="shared" si="36"/>
        <v>1.1881188118811881</v>
      </c>
      <c r="S20" s="84">
        <f t="shared" si="37"/>
        <v>0.96774193548387089</v>
      </c>
      <c r="T20" s="664">
        <v>11</v>
      </c>
      <c r="U20" s="665">
        <v>11.2</v>
      </c>
      <c r="V20" s="83">
        <f t="shared" si="38"/>
        <v>1.0909090909090908</v>
      </c>
      <c r="W20" s="84">
        <f t="shared" si="39"/>
        <v>1.0714285714285714</v>
      </c>
      <c r="X20" s="10"/>
      <c r="Y20" s="9"/>
      <c r="Z20" s="83"/>
      <c r="AA20" s="84"/>
      <c r="AB20" s="10"/>
      <c r="AC20" s="9"/>
      <c r="AD20" s="83"/>
      <c r="AE20" s="84"/>
      <c r="AF20" s="10">
        <v>10.8</v>
      </c>
      <c r="AG20" s="9">
        <v>11</v>
      </c>
      <c r="AH20" s="65">
        <f t="shared" si="40"/>
        <v>1.1111111111111109</v>
      </c>
      <c r="AI20" s="66">
        <f t="shared" si="41"/>
        <v>1.0909090909090908</v>
      </c>
      <c r="AJ20" s="10"/>
      <c r="AK20" s="9"/>
      <c r="AL20" s="65"/>
      <c r="AM20" s="66"/>
      <c r="AN20" s="426"/>
      <c r="AO20" s="427"/>
      <c r="AP20" s="65"/>
      <c r="AQ20" s="66"/>
      <c r="AR20" s="10">
        <v>9.8000000000000007</v>
      </c>
      <c r="AS20" s="9">
        <v>9.9</v>
      </c>
      <c r="AT20" s="65">
        <f t="shared" si="42"/>
        <v>1.2244897959183672</v>
      </c>
      <c r="AU20" s="66">
        <f t="shared" si="43"/>
        <v>1.2121212121212122</v>
      </c>
      <c r="AV20" s="10"/>
      <c r="AW20" s="9"/>
      <c r="AX20" s="65"/>
      <c r="AY20" s="66"/>
      <c r="AZ20" s="426"/>
      <c r="BA20" s="427"/>
      <c r="BB20" s="65"/>
      <c r="BC20" s="66"/>
      <c r="BD20" s="10">
        <v>9.5</v>
      </c>
      <c r="BE20" s="9">
        <v>9.6</v>
      </c>
      <c r="BF20" s="65">
        <f t="shared" si="44"/>
        <v>1.263157894736842</v>
      </c>
      <c r="BG20" s="66">
        <f t="shared" si="45"/>
        <v>1.25</v>
      </c>
      <c r="BH20" s="10"/>
      <c r="BI20" s="9"/>
      <c r="BJ20" s="65"/>
      <c r="BK20" s="66"/>
      <c r="BL20" s="428"/>
      <c r="BM20" s="427"/>
      <c r="BN20" s="65"/>
      <c r="BO20" s="66"/>
      <c r="BP20" s="12" t="s">
        <v>168</v>
      </c>
      <c r="BQ20" s="1"/>
      <c r="BR20" s="27">
        <v>10.1</v>
      </c>
      <c r="BS20" s="7">
        <v>12.4</v>
      </c>
      <c r="BT20" s="94">
        <v>6.5</v>
      </c>
      <c r="BU20" s="83">
        <f t="shared" si="46"/>
        <v>1.1881188118811881</v>
      </c>
      <c r="BV20" s="98">
        <f t="shared" si="47"/>
        <v>0.96774193548387089</v>
      </c>
      <c r="BW20" s="84">
        <f t="shared" si="48"/>
        <v>1.8461538461538463</v>
      </c>
      <c r="BX20" s="96">
        <v>10.1</v>
      </c>
      <c r="BY20" s="7">
        <v>12.4</v>
      </c>
      <c r="BZ20" s="9">
        <v>6.5</v>
      </c>
      <c r="CA20" s="83">
        <f t="shared" si="49"/>
        <v>1.1881188118811881</v>
      </c>
      <c r="CB20" s="98">
        <f t="shared" si="50"/>
        <v>0.96774193548387089</v>
      </c>
      <c r="CC20" s="84">
        <f t="shared" si="51"/>
        <v>1.8461538461538463</v>
      </c>
      <c r="CD20" s="27">
        <v>10.1</v>
      </c>
      <c r="CE20" s="7">
        <v>12.4</v>
      </c>
      <c r="CF20" s="94">
        <v>6.5</v>
      </c>
      <c r="CG20" s="83">
        <f t="shared" si="52"/>
        <v>1.1881188118811881</v>
      </c>
      <c r="CH20" s="98">
        <f t="shared" si="53"/>
        <v>0.96774193548387089</v>
      </c>
      <c r="CI20" s="84">
        <f t="shared" si="54"/>
        <v>1.8461538461538463</v>
      </c>
      <c r="CJ20" s="96">
        <v>10.1</v>
      </c>
      <c r="CK20" s="7">
        <v>12.4</v>
      </c>
      <c r="CL20" s="9">
        <v>6.5</v>
      </c>
      <c r="CM20" s="83">
        <f t="shared" si="55"/>
        <v>1.1881188118811881</v>
      </c>
      <c r="CN20" s="98">
        <f t="shared" si="56"/>
        <v>0.96774193548387089</v>
      </c>
      <c r="CO20" s="84">
        <f t="shared" si="57"/>
        <v>1.8461538461538463</v>
      </c>
      <c r="CP20" s="11">
        <v>11</v>
      </c>
      <c r="CQ20" s="8">
        <v>11.2</v>
      </c>
      <c r="CR20" s="9">
        <v>3.3</v>
      </c>
      <c r="CS20" s="83">
        <f t="shared" si="58"/>
        <v>1.0909090909090908</v>
      </c>
      <c r="CT20" s="98">
        <f t="shared" si="59"/>
        <v>1.0714285714285714</v>
      </c>
      <c r="CU20" s="84">
        <f t="shared" si="60"/>
        <v>1.0657572205051691</v>
      </c>
      <c r="CV20" s="10"/>
      <c r="CW20" s="7"/>
      <c r="CX20" s="9"/>
      <c r="CY20" s="83"/>
      <c r="CZ20" s="98"/>
      <c r="DA20" s="84"/>
      <c r="DB20" s="426"/>
      <c r="DC20" s="429"/>
      <c r="DD20" s="427"/>
      <c r="DE20" s="83"/>
      <c r="DF20" s="98"/>
      <c r="DG20" s="84"/>
      <c r="DH20" s="10">
        <v>10.6</v>
      </c>
      <c r="DI20" s="8">
        <v>10.7</v>
      </c>
      <c r="DJ20" s="9">
        <v>3.2</v>
      </c>
      <c r="DK20" s="83">
        <f t="shared" si="61"/>
        <v>1.1320754716981132</v>
      </c>
      <c r="DL20" s="98">
        <f t="shared" si="62"/>
        <v>1.1214953271028039</v>
      </c>
      <c r="DM20" s="84">
        <f t="shared" si="63"/>
        <v>1.0990621336459554</v>
      </c>
      <c r="DN20" s="10"/>
      <c r="DO20" s="7"/>
      <c r="DP20" s="9"/>
      <c r="DQ20" s="83"/>
      <c r="DR20" s="98"/>
      <c r="DS20" s="84"/>
      <c r="DT20" s="426"/>
      <c r="DU20" s="429"/>
      <c r="DV20" s="427"/>
      <c r="DW20" s="83"/>
      <c r="DX20" s="98"/>
      <c r="DY20" s="84"/>
      <c r="DZ20" s="10">
        <v>9.5</v>
      </c>
      <c r="EA20" s="7">
        <v>9.6</v>
      </c>
      <c r="EB20" s="13">
        <v>3.2</v>
      </c>
      <c r="EC20" s="83">
        <f t="shared" si="64"/>
        <v>1.263157894736842</v>
      </c>
      <c r="ED20" s="98">
        <f t="shared" si="65"/>
        <v>1.25</v>
      </c>
      <c r="EE20" s="84">
        <f t="shared" si="66"/>
        <v>1.0990621336459554</v>
      </c>
      <c r="EF20" s="10"/>
      <c r="EG20" s="7"/>
      <c r="EH20" s="9"/>
      <c r="EI20" s="83"/>
      <c r="EJ20" s="98"/>
      <c r="EK20" s="84"/>
      <c r="EL20" s="426"/>
      <c r="EM20" s="429"/>
      <c r="EN20" s="427"/>
      <c r="EO20" s="83"/>
      <c r="EP20" s="98"/>
      <c r="EQ20" s="84"/>
      <c r="ER20" s="10">
        <v>9.5</v>
      </c>
      <c r="ES20" s="7">
        <v>9.6</v>
      </c>
      <c r="ET20" s="13">
        <v>3.2</v>
      </c>
      <c r="EU20" s="83">
        <f t="shared" si="67"/>
        <v>1.263157894736842</v>
      </c>
      <c r="EV20" s="98">
        <f t="shared" si="68"/>
        <v>1.25</v>
      </c>
      <c r="EW20" s="84">
        <f t="shared" si="69"/>
        <v>1.0990621336459554</v>
      </c>
      <c r="EX20" s="10"/>
      <c r="EY20" s="7"/>
      <c r="EZ20" s="9"/>
      <c r="FA20" s="83"/>
      <c r="FB20" s="98"/>
      <c r="FC20" s="84"/>
      <c r="FD20" s="426"/>
      <c r="FE20" s="429"/>
      <c r="FF20" s="427"/>
      <c r="FG20" s="83"/>
      <c r="FH20" s="98"/>
      <c r="FI20" s="84"/>
      <c r="FJ20" s="12" t="s">
        <v>13</v>
      </c>
    </row>
    <row r="21" spans="1:166" ht="15" customHeight="1" x14ac:dyDescent="0.25">
      <c r="A21" s="82">
        <v>2012</v>
      </c>
      <c r="B21" s="1"/>
      <c r="C21" s="26">
        <v>2012</v>
      </c>
      <c r="D21" s="23">
        <v>10.1</v>
      </c>
      <c r="E21" s="9">
        <v>12.4</v>
      </c>
      <c r="F21" s="83">
        <f t="shared" si="30"/>
        <v>1.1881188118811881</v>
      </c>
      <c r="G21" s="84">
        <f t="shared" si="31"/>
        <v>0.96774193548387089</v>
      </c>
      <c r="H21" s="11">
        <v>10.1</v>
      </c>
      <c r="I21" s="9">
        <v>12.4</v>
      </c>
      <c r="J21" s="83">
        <f t="shared" si="32"/>
        <v>1.1881188118811881</v>
      </c>
      <c r="K21" s="84">
        <f t="shared" si="33"/>
        <v>0.96774193548387089</v>
      </c>
      <c r="L21" s="23">
        <v>10.1</v>
      </c>
      <c r="M21" s="9">
        <v>12.4</v>
      </c>
      <c r="N21" s="83">
        <f t="shared" si="34"/>
        <v>1.1881188118811881</v>
      </c>
      <c r="O21" s="84">
        <f t="shared" si="35"/>
        <v>0.96774193548387089</v>
      </c>
      <c r="P21" s="11">
        <v>10.1</v>
      </c>
      <c r="Q21" s="9">
        <v>12.4</v>
      </c>
      <c r="R21" s="83">
        <f t="shared" si="36"/>
        <v>1.1881188118811881</v>
      </c>
      <c r="S21" s="84">
        <f t="shared" si="37"/>
        <v>0.96774193548387089</v>
      </c>
      <c r="T21" s="664">
        <v>11</v>
      </c>
      <c r="U21" s="665">
        <v>11.2</v>
      </c>
      <c r="V21" s="83">
        <f t="shared" si="38"/>
        <v>1.0909090909090908</v>
      </c>
      <c r="W21" s="84">
        <f t="shared" si="39"/>
        <v>1.0714285714285714</v>
      </c>
      <c r="X21" s="10"/>
      <c r="Y21" s="9"/>
      <c r="Z21" s="83"/>
      <c r="AA21" s="84"/>
      <c r="AB21" s="10"/>
      <c r="AC21" s="9"/>
      <c r="AD21" s="83"/>
      <c r="AE21" s="84"/>
      <c r="AF21" s="10">
        <v>10.8</v>
      </c>
      <c r="AG21" s="9">
        <v>11</v>
      </c>
      <c r="AH21" s="65">
        <f t="shared" si="40"/>
        <v>1.1111111111111109</v>
      </c>
      <c r="AI21" s="66">
        <f t="shared" si="41"/>
        <v>1.0909090909090908</v>
      </c>
      <c r="AJ21" s="10"/>
      <c r="AK21" s="9"/>
      <c r="AL21" s="65"/>
      <c r="AM21" s="66"/>
      <c r="AN21" s="426"/>
      <c r="AO21" s="427"/>
      <c r="AP21" s="65"/>
      <c r="AQ21" s="66"/>
      <c r="AR21" s="10">
        <v>9.8000000000000007</v>
      </c>
      <c r="AS21" s="9">
        <v>9.9</v>
      </c>
      <c r="AT21" s="65">
        <f t="shared" si="42"/>
        <v>1.2244897959183672</v>
      </c>
      <c r="AU21" s="66">
        <f t="shared" si="43"/>
        <v>1.2121212121212122</v>
      </c>
      <c r="AV21" s="10"/>
      <c r="AW21" s="9"/>
      <c r="AX21" s="65"/>
      <c r="AY21" s="66"/>
      <c r="AZ21" s="426"/>
      <c r="BA21" s="427"/>
      <c r="BB21" s="65"/>
      <c r="BC21" s="66"/>
      <c r="BD21" s="10">
        <v>9.5</v>
      </c>
      <c r="BE21" s="9">
        <v>9.6</v>
      </c>
      <c r="BF21" s="65">
        <f t="shared" si="44"/>
        <v>1.263157894736842</v>
      </c>
      <c r="BG21" s="66">
        <f t="shared" si="45"/>
        <v>1.25</v>
      </c>
      <c r="BH21" s="10"/>
      <c r="BI21" s="9"/>
      <c r="BJ21" s="65"/>
      <c r="BK21" s="66"/>
      <c r="BL21" s="428"/>
      <c r="BM21" s="427"/>
      <c r="BN21" s="65"/>
      <c r="BO21" s="66"/>
      <c r="BP21" s="12" t="s">
        <v>14</v>
      </c>
      <c r="BQ21" s="1"/>
      <c r="BR21" s="27">
        <v>10.1</v>
      </c>
      <c r="BS21" s="7">
        <v>12.4</v>
      </c>
      <c r="BT21" s="94">
        <v>6.5</v>
      </c>
      <c r="BU21" s="83">
        <f t="shared" si="46"/>
        <v>1.1881188118811881</v>
      </c>
      <c r="BV21" s="98">
        <f t="shared" si="47"/>
        <v>0.96774193548387089</v>
      </c>
      <c r="BW21" s="84">
        <f t="shared" si="48"/>
        <v>1.8461538461538463</v>
      </c>
      <c r="BX21" s="96">
        <v>10.1</v>
      </c>
      <c r="BY21" s="7">
        <v>12.4</v>
      </c>
      <c r="BZ21" s="9">
        <v>6.5</v>
      </c>
      <c r="CA21" s="83">
        <f t="shared" si="49"/>
        <v>1.1881188118811881</v>
      </c>
      <c r="CB21" s="98">
        <f t="shared" si="50"/>
        <v>0.96774193548387089</v>
      </c>
      <c r="CC21" s="84">
        <f t="shared" si="51"/>
        <v>1.8461538461538463</v>
      </c>
      <c r="CD21" s="27">
        <v>10.1</v>
      </c>
      <c r="CE21" s="7">
        <v>12.4</v>
      </c>
      <c r="CF21" s="94">
        <v>6.5</v>
      </c>
      <c r="CG21" s="83">
        <f t="shared" si="52"/>
        <v>1.1881188118811881</v>
      </c>
      <c r="CH21" s="98">
        <f t="shared" si="53"/>
        <v>0.96774193548387089</v>
      </c>
      <c r="CI21" s="84">
        <f t="shared" si="54"/>
        <v>1.8461538461538463</v>
      </c>
      <c r="CJ21" s="96">
        <v>10.1</v>
      </c>
      <c r="CK21" s="7">
        <v>12.4</v>
      </c>
      <c r="CL21" s="9">
        <v>6.5</v>
      </c>
      <c r="CM21" s="83">
        <f t="shared" si="55"/>
        <v>1.1881188118811881</v>
      </c>
      <c r="CN21" s="98">
        <f t="shared" si="56"/>
        <v>0.96774193548387089</v>
      </c>
      <c r="CO21" s="84">
        <f t="shared" si="57"/>
        <v>1.8461538461538463</v>
      </c>
      <c r="CP21" s="11">
        <v>11</v>
      </c>
      <c r="CQ21" s="8">
        <v>11.2</v>
      </c>
      <c r="CR21" s="9">
        <v>3.3</v>
      </c>
      <c r="CS21" s="83">
        <f t="shared" si="58"/>
        <v>1.0909090909090908</v>
      </c>
      <c r="CT21" s="98">
        <f t="shared" si="59"/>
        <v>1.0714285714285714</v>
      </c>
      <c r="CU21" s="84">
        <f t="shared" si="60"/>
        <v>1.0657572205051691</v>
      </c>
      <c r="CV21" s="11"/>
      <c r="CW21" s="8"/>
      <c r="CX21" s="9"/>
      <c r="CY21" s="83"/>
      <c r="CZ21" s="98"/>
      <c r="DA21" s="84"/>
      <c r="DB21" s="426"/>
      <c r="DC21" s="429"/>
      <c r="DD21" s="427"/>
      <c r="DE21" s="83"/>
      <c r="DF21" s="98"/>
      <c r="DG21" s="84"/>
      <c r="DH21" s="10">
        <v>10.6</v>
      </c>
      <c r="DI21" s="8">
        <v>10.7</v>
      </c>
      <c r="DJ21" s="13">
        <v>3.2</v>
      </c>
      <c r="DK21" s="83">
        <f t="shared" si="61"/>
        <v>1.1320754716981132</v>
      </c>
      <c r="DL21" s="98">
        <f t="shared" si="62"/>
        <v>1.1214953271028039</v>
      </c>
      <c r="DM21" s="84">
        <f t="shared" si="63"/>
        <v>1.0990621336459554</v>
      </c>
      <c r="DN21" s="10"/>
      <c r="DO21" s="8"/>
      <c r="DP21" s="13"/>
      <c r="DQ21" s="83"/>
      <c r="DR21" s="98"/>
      <c r="DS21" s="84"/>
      <c r="DT21" s="426"/>
      <c r="DU21" s="429"/>
      <c r="DV21" s="427"/>
      <c r="DW21" s="83"/>
      <c r="DX21" s="98"/>
      <c r="DY21" s="84"/>
      <c r="DZ21" s="10">
        <v>9.5</v>
      </c>
      <c r="EA21" s="7">
        <v>9.6</v>
      </c>
      <c r="EB21" s="13">
        <v>3.2</v>
      </c>
      <c r="EC21" s="83">
        <f t="shared" si="64"/>
        <v>1.263157894736842</v>
      </c>
      <c r="ED21" s="98">
        <f t="shared" si="65"/>
        <v>1.25</v>
      </c>
      <c r="EE21" s="84">
        <f t="shared" si="66"/>
        <v>1.0990621336459554</v>
      </c>
      <c r="EF21" s="10"/>
      <c r="EG21" s="7"/>
      <c r="EH21" s="13"/>
      <c r="EI21" s="83"/>
      <c r="EJ21" s="98"/>
      <c r="EK21" s="84"/>
      <c r="EL21" s="426"/>
      <c r="EM21" s="429"/>
      <c r="EN21" s="427"/>
      <c r="EO21" s="83"/>
      <c r="EP21" s="98"/>
      <c r="EQ21" s="84"/>
      <c r="ER21" s="10">
        <v>9.5</v>
      </c>
      <c r="ES21" s="7">
        <v>9.6</v>
      </c>
      <c r="ET21" s="13">
        <v>3.2</v>
      </c>
      <c r="EU21" s="83">
        <f t="shared" si="67"/>
        <v>1.263157894736842</v>
      </c>
      <c r="EV21" s="98">
        <f t="shared" si="68"/>
        <v>1.25</v>
      </c>
      <c r="EW21" s="84">
        <f t="shared" si="69"/>
        <v>1.0990621336459554</v>
      </c>
      <c r="EX21" s="10"/>
      <c r="EY21" s="7"/>
      <c r="EZ21" s="13"/>
      <c r="FA21" s="83"/>
      <c r="FB21" s="98"/>
      <c r="FC21" s="84"/>
      <c r="FD21" s="426"/>
      <c r="FE21" s="429"/>
      <c r="FF21" s="427"/>
      <c r="FG21" s="83"/>
      <c r="FH21" s="98"/>
      <c r="FI21" s="84"/>
      <c r="FJ21" s="12" t="s">
        <v>14</v>
      </c>
    </row>
    <row r="22" spans="1:166" ht="15" customHeight="1" x14ac:dyDescent="0.25">
      <c r="A22" s="82">
        <v>2013</v>
      </c>
      <c r="B22" s="1"/>
      <c r="C22" s="26">
        <v>2013</v>
      </c>
      <c r="D22" s="23">
        <v>10.1</v>
      </c>
      <c r="E22" s="9">
        <v>12.4</v>
      </c>
      <c r="F22" s="83">
        <f t="shared" si="30"/>
        <v>1.1881188118811881</v>
      </c>
      <c r="G22" s="84">
        <f t="shared" si="31"/>
        <v>0.96774193548387089</v>
      </c>
      <c r="H22" s="11">
        <v>10.1</v>
      </c>
      <c r="I22" s="9">
        <v>12.4</v>
      </c>
      <c r="J22" s="83">
        <f t="shared" si="32"/>
        <v>1.1881188118811881</v>
      </c>
      <c r="K22" s="84">
        <f t="shared" si="33"/>
        <v>0.96774193548387089</v>
      </c>
      <c r="L22" s="23">
        <v>10.1</v>
      </c>
      <c r="M22" s="9">
        <v>12.4</v>
      </c>
      <c r="N22" s="83">
        <f t="shared" si="34"/>
        <v>1.1881188118811881</v>
      </c>
      <c r="O22" s="84">
        <f t="shared" si="35"/>
        <v>0.96774193548387089</v>
      </c>
      <c r="P22" s="11">
        <v>10.1</v>
      </c>
      <c r="Q22" s="9">
        <v>12.4</v>
      </c>
      <c r="R22" s="83">
        <f t="shared" si="36"/>
        <v>1.1881188118811881</v>
      </c>
      <c r="S22" s="84">
        <f t="shared" si="37"/>
        <v>0.96774193548387089</v>
      </c>
      <c r="T22" s="664">
        <v>11</v>
      </c>
      <c r="U22" s="665">
        <v>11.2</v>
      </c>
      <c r="V22" s="83">
        <f t="shared" si="38"/>
        <v>1.0909090909090908</v>
      </c>
      <c r="W22" s="84">
        <f t="shared" si="39"/>
        <v>1.0714285714285714</v>
      </c>
      <c r="X22" s="10"/>
      <c r="Y22" s="9"/>
      <c r="Z22" s="83"/>
      <c r="AA22" s="84"/>
      <c r="AB22" s="10"/>
      <c r="AC22" s="9"/>
      <c r="AD22" s="83"/>
      <c r="AE22" s="84"/>
      <c r="AF22" s="10">
        <v>10.8</v>
      </c>
      <c r="AG22" s="9">
        <v>11</v>
      </c>
      <c r="AH22" s="65">
        <f t="shared" si="40"/>
        <v>1.1111111111111109</v>
      </c>
      <c r="AI22" s="66">
        <f t="shared" si="41"/>
        <v>1.0909090909090908</v>
      </c>
      <c r="AJ22" s="10"/>
      <c r="AK22" s="9"/>
      <c r="AL22" s="65"/>
      <c r="AM22" s="66"/>
      <c r="AN22" s="426"/>
      <c r="AO22" s="427"/>
      <c r="AP22" s="65"/>
      <c r="AQ22" s="66"/>
      <c r="AR22" s="10">
        <v>9.8000000000000007</v>
      </c>
      <c r="AS22" s="9">
        <v>9.9</v>
      </c>
      <c r="AT22" s="65">
        <f t="shared" si="42"/>
        <v>1.2244897959183672</v>
      </c>
      <c r="AU22" s="66">
        <f t="shared" si="43"/>
        <v>1.2121212121212122</v>
      </c>
      <c r="AV22" s="10"/>
      <c r="AW22" s="9"/>
      <c r="AX22" s="65"/>
      <c r="AY22" s="66"/>
      <c r="AZ22" s="426"/>
      <c r="BA22" s="427"/>
      <c r="BB22" s="65"/>
      <c r="BC22" s="66"/>
      <c r="BD22" s="10">
        <v>9.5</v>
      </c>
      <c r="BE22" s="9">
        <v>9.6</v>
      </c>
      <c r="BF22" s="65">
        <f t="shared" si="44"/>
        <v>1.263157894736842</v>
      </c>
      <c r="BG22" s="66">
        <f t="shared" si="45"/>
        <v>1.25</v>
      </c>
      <c r="BH22" s="10"/>
      <c r="BI22" s="9"/>
      <c r="BJ22" s="65"/>
      <c r="BK22" s="66"/>
      <c r="BL22" s="428"/>
      <c r="BM22" s="427"/>
      <c r="BN22" s="65"/>
      <c r="BO22" s="66"/>
      <c r="BP22" s="12" t="s">
        <v>14</v>
      </c>
      <c r="BQ22" s="1"/>
      <c r="BR22" s="27">
        <v>10.1</v>
      </c>
      <c r="BS22" s="7">
        <v>12.4</v>
      </c>
      <c r="BT22" s="94">
        <v>6.5</v>
      </c>
      <c r="BU22" s="83">
        <f t="shared" si="46"/>
        <v>1.1881188118811881</v>
      </c>
      <c r="BV22" s="98">
        <f t="shared" si="47"/>
        <v>0.96774193548387089</v>
      </c>
      <c r="BW22" s="84">
        <f t="shared" si="48"/>
        <v>1.8461538461538463</v>
      </c>
      <c r="BX22" s="96">
        <v>10.1</v>
      </c>
      <c r="BY22" s="7">
        <v>12.4</v>
      </c>
      <c r="BZ22" s="9">
        <v>6.5</v>
      </c>
      <c r="CA22" s="83">
        <f t="shared" si="49"/>
        <v>1.1881188118811881</v>
      </c>
      <c r="CB22" s="98">
        <f t="shared" si="50"/>
        <v>0.96774193548387089</v>
      </c>
      <c r="CC22" s="84">
        <f t="shared" si="51"/>
        <v>1.8461538461538463</v>
      </c>
      <c r="CD22" s="27">
        <v>10.1</v>
      </c>
      <c r="CE22" s="7">
        <v>12.4</v>
      </c>
      <c r="CF22" s="94">
        <v>6.5</v>
      </c>
      <c r="CG22" s="83">
        <f t="shared" si="52"/>
        <v>1.1881188118811881</v>
      </c>
      <c r="CH22" s="98">
        <f t="shared" si="53"/>
        <v>0.96774193548387089</v>
      </c>
      <c r="CI22" s="84">
        <f t="shared" si="54"/>
        <v>1.8461538461538463</v>
      </c>
      <c r="CJ22" s="96">
        <v>10.1</v>
      </c>
      <c r="CK22" s="7">
        <v>12.4</v>
      </c>
      <c r="CL22" s="9">
        <v>6.5</v>
      </c>
      <c r="CM22" s="83">
        <f t="shared" si="55"/>
        <v>1.1881188118811881</v>
      </c>
      <c r="CN22" s="98">
        <f t="shared" si="56"/>
        <v>0.96774193548387089</v>
      </c>
      <c r="CO22" s="84">
        <f t="shared" si="57"/>
        <v>1.8461538461538463</v>
      </c>
      <c r="CP22" s="11">
        <v>11</v>
      </c>
      <c r="CQ22" s="8">
        <v>11.2</v>
      </c>
      <c r="CR22" s="9">
        <v>3.3</v>
      </c>
      <c r="CS22" s="83">
        <f t="shared" si="58"/>
        <v>1.0909090909090908</v>
      </c>
      <c r="CT22" s="98">
        <f t="shared" si="59"/>
        <v>1.0714285714285714</v>
      </c>
      <c r="CU22" s="84">
        <f t="shared" si="60"/>
        <v>1.0657572205051691</v>
      </c>
      <c r="CV22" s="11"/>
      <c r="CW22" s="8"/>
      <c r="CX22" s="9"/>
      <c r="CY22" s="83"/>
      <c r="CZ22" s="98"/>
      <c r="DA22" s="84"/>
      <c r="DB22" s="426"/>
      <c r="DC22" s="429"/>
      <c r="DD22" s="427"/>
      <c r="DE22" s="83"/>
      <c r="DF22" s="98"/>
      <c r="DG22" s="84"/>
      <c r="DH22" s="10">
        <v>10.6</v>
      </c>
      <c r="DI22" s="8">
        <v>10.7</v>
      </c>
      <c r="DJ22" s="13">
        <v>3.2</v>
      </c>
      <c r="DK22" s="83">
        <f t="shared" si="61"/>
        <v>1.1320754716981132</v>
      </c>
      <c r="DL22" s="98">
        <f t="shared" si="62"/>
        <v>1.1214953271028039</v>
      </c>
      <c r="DM22" s="84">
        <f t="shared" si="63"/>
        <v>1.0990621336459554</v>
      </c>
      <c r="DN22" s="10"/>
      <c r="DO22" s="8"/>
      <c r="DP22" s="13"/>
      <c r="DQ22" s="83"/>
      <c r="DR22" s="98"/>
      <c r="DS22" s="84"/>
      <c r="DT22" s="426"/>
      <c r="DU22" s="429"/>
      <c r="DV22" s="427"/>
      <c r="DW22" s="83"/>
      <c r="DX22" s="98"/>
      <c r="DY22" s="84"/>
      <c r="DZ22" s="10">
        <v>9.5</v>
      </c>
      <c r="EA22" s="7">
        <v>9.6</v>
      </c>
      <c r="EB22" s="13">
        <v>3.2</v>
      </c>
      <c r="EC22" s="83">
        <f t="shared" si="64"/>
        <v>1.263157894736842</v>
      </c>
      <c r="ED22" s="98">
        <f t="shared" si="65"/>
        <v>1.25</v>
      </c>
      <c r="EE22" s="84">
        <f t="shared" si="66"/>
        <v>1.0990621336459554</v>
      </c>
      <c r="EF22" s="10"/>
      <c r="EG22" s="7"/>
      <c r="EH22" s="13"/>
      <c r="EI22" s="83"/>
      <c r="EJ22" s="98"/>
      <c r="EK22" s="84"/>
      <c r="EL22" s="426"/>
      <c r="EM22" s="429"/>
      <c r="EN22" s="427"/>
      <c r="EO22" s="83"/>
      <c r="EP22" s="98"/>
      <c r="EQ22" s="84"/>
      <c r="ER22" s="10">
        <v>9.5</v>
      </c>
      <c r="ES22" s="7">
        <v>9.6</v>
      </c>
      <c r="ET22" s="13">
        <v>3.2</v>
      </c>
      <c r="EU22" s="83">
        <f t="shared" si="67"/>
        <v>1.263157894736842</v>
      </c>
      <c r="EV22" s="98">
        <f t="shared" si="68"/>
        <v>1.25</v>
      </c>
      <c r="EW22" s="84">
        <f t="shared" si="69"/>
        <v>1.0990621336459554</v>
      </c>
      <c r="EX22" s="10"/>
      <c r="EY22" s="7"/>
      <c r="EZ22" s="13"/>
      <c r="FA22" s="83"/>
      <c r="FB22" s="98"/>
      <c r="FC22" s="84"/>
      <c r="FD22" s="426"/>
      <c r="FE22" s="429"/>
      <c r="FF22" s="427"/>
      <c r="FG22" s="83"/>
      <c r="FH22" s="98"/>
      <c r="FI22" s="84"/>
      <c r="FJ22" s="12" t="s">
        <v>14</v>
      </c>
    </row>
    <row r="23" spans="1:166" ht="15" customHeight="1" x14ac:dyDescent="0.25">
      <c r="A23" s="82">
        <v>2014</v>
      </c>
      <c r="B23" s="1"/>
      <c r="C23" s="26">
        <v>2014</v>
      </c>
      <c r="D23" s="23">
        <v>10.1</v>
      </c>
      <c r="E23" s="9">
        <v>12.4</v>
      </c>
      <c r="F23" s="83">
        <f t="shared" si="30"/>
        <v>1.1881188118811881</v>
      </c>
      <c r="G23" s="84">
        <f t="shared" si="31"/>
        <v>0.96774193548387089</v>
      </c>
      <c r="H23" s="11">
        <v>10.1</v>
      </c>
      <c r="I23" s="9">
        <v>12.4</v>
      </c>
      <c r="J23" s="83">
        <f t="shared" si="32"/>
        <v>1.1881188118811881</v>
      </c>
      <c r="K23" s="84">
        <f t="shared" si="33"/>
        <v>0.96774193548387089</v>
      </c>
      <c r="L23" s="23">
        <v>10.1</v>
      </c>
      <c r="M23" s="9">
        <v>12.4</v>
      </c>
      <c r="N23" s="83">
        <f t="shared" si="34"/>
        <v>1.1881188118811881</v>
      </c>
      <c r="O23" s="84">
        <f t="shared" si="35"/>
        <v>0.96774193548387089</v>
      </c>
      <c r="P23" s="11">
        <v>10.1</v>
      </c>
      <c r="Q23" s="9">
        <v>12.4</v>
      </c>
      <c r="R23" s="83">
        <f t="shared" si="36"/>
        <v>1.1881188118811881</v>
      </c>
      <c r="S23" s="84">
        <f t="shared" si="37"/>
        <v>0.96774193548387089</v>
      </c>
      <c r="T23" s="664">
        <v>11</v>
      </c>
      <c r="U23" s="665">
        <v>11.2</v>
      </c>
      <c r="V23" s="83">
        <f t="shared" si="38"/>
        <v>1.0909090909090908</v>
      </c>
      <c r="W23" s="84">
        <f t="shared" si="39"/>
        <v>1.0714285714285714</v>
      </c>
      <c r="X23" s="10"/>
      <c r="Y23" s="9"/>
      <c r="Z23" s="83"/>
      <c r="AA23" s="84"/>
      <c r="AB23" s="10"/>
      <c r="AC23" s="9"/>
      <c r="AD23" s="83"/>
      <c r="AE23" s="84"/>
      <c r="AF23" s="10">
        <v>10.8</v>
      </c>
      <c r="AG23" s="9">
        <v>11</v>
      </c>
      <c r="AH23" s="65">
        <f t="shared" si="40"/>
        <v>1.1111111111111109</v>
      </c>
      <c r="AI23" s="66">
        <f t="shared" si="41"/>
        <v>1.0909090909090908</v>
      </c>
      <c r="AJ23" s="10"/>
      <c r="AK23" s="9"/>
      <c r="AL23" s="65"/>
      <c r="AM23" s="66"/>
      <c r="AN23" s="426"/>
      <c r="AO23" s="427"/>
      <c r="AP23" s="65"/>
      <c r="AQ23" s="66"/>
      <c r="AR23" s="10">
        <v>9.8000000000000007</v>
      </c>
      <c r="AS23" s="9">
        <v>9.9</v>
      </c>
      <c r="AT23" s="65">
        <f t="shared" si="42"/>
        <v>1.2244897959183672</v>
      </c>
      <c r="AU23" s="66">
        <f t="shared" si="43"/>
        <v>1.2121212121212122</v>
      </c>
      <c r="AV23" s="10"/>
      <c r="AW23" s="9"/>
      <c r="AX23" s="65"/>
      <c r="AY23" s="66"/>
      <c r="AZ23" s="426"/>
      <c r="BA23" s="427"/>
      <c r="BB23" s="65"/>
      <c r="BC23" s="66"/>
      <c r="BD23" s="10">
        <v>9.5</v>
      </c>
      <c r="BE23" s="9">
        <v>9.6</v>
      </c>
      <c r="BF23" s="65">
        <f t="shared" si="44"/>
        <v>1.263157894736842</v>
      </c>
      <c r="BG23" s="66">
        <f t="shared" si="45"/>
        <v>1.25</v>
      </c>
      <c r="BH23" s="10"/>
      <c r="BI23" s="9"/>
      <c r="BJ23" s="65"/>
      <c r="BK23" s="66"/>
      <c r="BL23" s="428"/>
      <c r="BM23" s="427"/>
      <c r="BN23" s="65"/>
      <c r="BO23" s="66"/>
      <c r="BP23" s="12" t="s">
        <v>14</v>
      </c>
      <c r="BQ23" s="1"/>
      <c r="BR23" s="27">
        <v>10.1</v>
      </c>
      <c r="BS23" s="7">
        <v>12.4</v>
      </c>
      <c r="BT23" s="94">
        <v>6.5</v>
      </c>
      <c r="BU23" s="83">
        <f t="shared" si="46"/>
        <v>1.1881188118811881</v>
      </c>
      <c r="BV23" s="98">
        <f t="shared" si="47"/>
        <v>0.96774193548387089</v>
      </c>
      <c r="BW23" s="84">
        <f t="shared" si="48"/>
        <v>1.8461538461538463</v>
      </c>
      <c r="BX23" s="96">
        <v>10.1</v>
      </c>
      <c r="BY23" s="7">
        <v>12.4</v>
      </c>
      <c r="BZ23" s="9">
        <v>6.5</v>
      </c>
      <c r="CA23" s="83">
        <f t="shared" si="49"/>
        <v>1.1881188118811881</v>
      </c>
      <c r="CB23" s="98">
        <f t="shared" si="50"/>
        <v>0.96774193548387089</v>
      </c>
      <c r="CC23" s="84">
        <f t="shared" si="51"/>
        <v>1.8461538461538463</v>
      </c>
      <c r="CD23" s="27">
        <v>10.1</v>
      </c>
      <c r="CE23" s="7">
        <v>12.4</v>
      </c>
      <c r="CF23" s="94">
        <v>6.5</v>
      </c>
      <c r="CG23" s="83">
        <f t="shared" si="52"/>
        <v>1.1881188118811881</v>
      </c>
      <c r="CH23" s="98">
        <f t="shared" si="53"/>
        <v>0.96774193548387089</v>
      </c>
      <c r="CI23" s="84">
        <f t="shared" si="54"/>
        <v>1.8461538461538463</v>
      </c>
      <c r="CJ23" s="96">
        <v>10.1</v>
      </c>
      <c r="CK23" s="7">
        <v>12.4</v>
      </c>
      <c r="CL23" s="9">
        <v>6.5</v>
      </c>
      <c r="CM23" s="83">
        <f t="shared" si="55"/>
        <v>1.1881188118811881</v>
      </c>
      <c r="CN23" s="98">
        <f t="shared" si="56"/>
        <v>0.96774193548387089</v>
      </c>
      <c r="CO23" s="84">
        <f t="shared" si="57"/>
        <v>1.8461538461538463</v>
      </c>
      <c r="CP23" s="11">
        <v>11</v>
      </c>
      <c r="CQ23" s="8">
        <v>11.2</v>
      </c>
      <c r="CR23" s="9">
        <v>3.3</v>
      </c>
      <c r="CS23" s="83">
        <f t="shared" si="58"/>
        <v>1.0909090909090908</v>
      </c>
      <c r="CT23" s="98">
        <f t="shared" si="59"/>
        <v>1.0714285714285714</v>
      </c>
      <c r="CU23" s="84">
        <f t="shared" si="60"/>
        <v>1.0657572205051691</v>
      </c>
      <c r="CV23" s="11"/>
      <c r="CW23" s="8"/>
      <c r="CX23" s="9"/>
      <c r="CY23" s="83"/>
      <c r="CZ23" s="98"/>
      <c r="DA23" s="84"/>
      <c r="DB23" s="426"/>
      <c r="DC23" s="429"/>
      <c r="DD23" s="427"/>
      <c r="DE23" s="83"/>
      <c r="DF23" s="98"/>
      <c r="DG23" s="84"/>
      <c r="DH23" s="10">
        <v>10.6</v>
      </c>
      <c r="DI23" s="8">
        <v>10.7</v>
      </c>
      <c r="DJ23" s="13">
        <v>3.2</v>
      </c>
      <c r="DK23" s="83">
        <f t="shared" si="61"/>
        <v>1.1320754716981132</v>
      </c>
      <c r="DL23" s="98">
        <f t="shared" si="62"/>
        <v>1.1214953271028039</v>
      </c>
      <c r="DM23" s="84">
        <f t="shared" si="63"/>
        <v>1.0990621336459554</v>
      </c>
      <c r="DN23" s="10"/>
      <c r="DO23" s="8"/>
      <c r="DP23" s="13"/>
      <c r="DQ23" s="83"/>
      <c r="DR23" s="98"/>
      <c r="DS23" s="84"/>
      <c r="DT23" s="426"/>
      <c r="DU23" s="429"/>
      <c r="DV23" s="427"/>
      <c r="DW23" s="83"/>
      <c r="DX23" s="98"/>
      <c r="DY23" s="84"/>
      <c r="DZ23" s="10">
        <v>9.5</v>
      </c>
      <c r="EA23" s="7">
        <v>9.6</v>
      </c>
      <c r="EB23" s="13">
        <v>3.2</v>
      </c>
      <c r="EC23" s="83">
        <f t="shared" si="64"/>
        <v>1.263157894736842</v>
      </c>
      <c r="ED23" s="98">
        <f t="shared" si="65"/>
        <v>1.25</v>
      </c>
      <c r="EE23" s="84">
        <f t="shared" si="66"/>
        <v>1.0990621336459554</v>
      </c>
      <c r="EF23" s="10"/>
      <c r="EG23" s="7"/>
      <c r="EH23" s="13"/>
      <c r="EI23" s="83"/>
      <c r="EJ23" s="98"/>
      <c r="EK23" s="84"/>
      <c r="EL23" s="426"/>
      <c r="EM23" s="429"/>
      <c r="EN23" s="427"/>
      <c r="EO23" s="83"/>
      <c r="EP23" s="98"/>
      <c r="EQ23" s="84"/>
      <c r="ER23" s="10">
        <v>9.5</v>
      </c>
      <c r="ES23" s="7">
        <v>9.6</v>
      </c>
      <c r="ET23" s="13">
        <v>3.2</v>
      </c>
      <c r="EU23" s="83">
        <f t="shared" si="67"/>
        <v>1.263157894736842</v>
      </c>
      <c r="EV23" s="98">
        <f t="shared" si="68"/>
        <v>1.25</v>
      </c>
      <c r="EW23" s="84">
        <f t="shared" si="69"/>
        <v>1.0990621336459554</v>
      </c>
      <c r="EX23" s="10"/>
      <c r="EY23" s="7"/>
      <c r="EZ23" s="13"/>
      <c r="FA23" s="83"/>
      <c r="FB23" s="98"/>
      <c r="FC23" s="84"/>
      <c r="FD23" s="426"/>
      <c r="FE23" s="429"/>
      <c r="FF23" s="427"/>
      <c r="FG23" s="83"/>
      <c r="FH23" s="98"/>
      <c r="FI23" s="84"/>
      <c r="FJ23" s="12" t="s">
        <v>14</v>
      </c>
    </row>
    <row r="24" spans="1:166" ht="15" customHeight="1" x14ac:dyDescent="0.25">
      <c r="A24" s="82">
        <v>2015</v>
      </c>
      <c r="B24" s="1"/>
      <c r="C24" s="26">
        <v>2015</v>
      </c>
      <c r="D24" s="23">
        <v>10.1</v>
      </c>
      <c r="E24" s="9">
        <v>12.4</v>
      </c>
      <c r="F24" s="83">
        <f t="shared" si="30"/>
        <v>1.1881188118811881</v>
      </c>
      <c r="G24" s="84">
        <f t="shared" si="31"/>
        <v>0.96774193548387089</v>
      </c>
      <c r="H24" s="11">
        <v>10.1</v>
      </c>
      <c r="I24" s="9">
        <v>12.4</v>
      </c>
      <c r="J24" s="83">
        <f t="shared" si="32"/>
        <v>1.1881188118811881</v>
      </c>
      <c r="K24" s="84">
        <f t="shared" si="33"/>
        <v>0.96774193548387089</v>
      </c>
      <c r="L24" s="23">
        <v>10.1</v>
      </c>
      <c r="M24" s="9">
        <v>12.4</v>
      </c>
      <c r="N24" s="83">
        <f t="shared" si="34"/>
        <v>1.1881188118811881</v>
      </c>
      <c r="O24" s="84">
        <f t="shared" si="35"/>
        <v>0.96774193548387089</v>
      </c>
      <c r="P24" s="11">
        <v>10.1</v>
      </c>
      <c r="Q24" s="9">
        <v>12.4</v>
      </c>
      <c r="R24" s="83">
        <f t="shared" si="36"/>
        <v>1.1881188118811881</v>
      </c>
      <c r="S24" s="84">
        <f t="shared" si="37"/>
        <v>0.96774193548387089</v>
      </c>
      <c r="T24" s="664">
        <v>11</v>
      </c>
      <c r="U24" s="665">
        <v>11.2</v>
      </c>
      <c r="V24" s="83">
        <f t="shared" si="38"/>
        <v>1.0909090909090908</v>
      </c>
      <c r="W24" s="84">
        <f t="shared" si="39"/>
        <v>1.0714285714285714</v>
      </c>
      <c r="X24" s="10"/>
      <c r="Y24" s="9"/>
      <c r="Z24" s="83"/>
      <c r="AA24" s="84"/>
      <c r="AB24" s="10"/>
      <c r="AC24" s="9"/>
      <c r="AD24" s="83"/>
      <c r="AE24" s="84"/>
      <c r="AF24" s="10">
        <v>10.8</v>
      </c>
      <c r="AG24" s="9">
        <v>11</v>
      </c>
      <c r="AH24" s="65">
        <f t="shared" si="40"/>
        <v>1.1111111111111109</v>
      </c>
      <c r="AI24" s="66">
        <f t="shared" si="41"/>
        <v>1.0909090909090908</v>
      </c>
      <c r="AJ24" s="10"/>
      <c r="AK24" s="9"/>
      <c r="AL24" s="65"/>
      <c r="AM24" s="66"/>
      <c r="AN24" s="426"/>
      <c r="AO24" s="427"/>
      <c r="AP24" s="65"/>
      <c r="AQ24" s="66"/>
      <c r="AR24" s="10">
        <v>9.8000000000000007</v>
      </c>
      <c r="AS24" s="9">
        <v>9.9</v>
      </c>
      <c r="AT24" s="65">
        <f t="shared" si="42"/>
        <v>1.2244897959183672</v>
      </c>
      <c r="AU24" s="66">
        <f t="shared" si="43"/>
        <v>1.2121212121212122</v>
      </c>
      <c r="AV24" s="10"/>
      <c r="AW24" s="9"/>
      <c r="AX24" s="65"/>
      <c r="AY24" s="66"/>
      <c r="AZ24" s="426"/>
      <c r="BA24" s="427"/>
      <c r="BB24" s="65"/>
      <c r="BC24" s="66"/>
      <c r="BD24" s="10">
        <v>9.5</v>
      </c>
      <c r="BE24" s="9">
        <v>9.6</v>
      </c>
      <c r="BF24" s="65">
        <f t="shared" si="44"/>
        <v>1.263157894736842</v>
      </c>
      <c r="BG24" s="66">
        <f t="shared" si="45"/>
        <v>1.25</v>
      </c>
      <c r="BH24" s="10"/>
      <c r="BI24" s="9"/>
      <c r="BJ24" s="65"/>
      <c r="BK24" s="66"/>
      <c r="BL24" s="428"/>
      <c r="BM24" s="427"/>
      <c r="BN24" s="65"/>
      <c r="BO24" s="66"/>
      <c r="BP24" s="12"/>
      <c r="BQ24" s="1"/>
      <c r="BR24" s="27">
        <v>10.1</v>
      </c>
      <c r="BS24" s="7">
        <v>12.4</v>
      </c>
      <c r="BT24" s="94">
        <v>6.5</v>
      </c>
      <c r="BU24" s="83">
        <f t="shared" si="46"/>
        <v>1.1881188118811881</v>
      </c>
      <c r="BV24" s="98">
        <f t="shared" si="47"/>
        <v>0.96774193548387089</v>
      </c>
      <c r="BW24" s="84">
        <f t="shared" si="48"/>
        <v>1.8461538461538463</v>
      </c>
      <c r="BX24" s="96">
        <v>10.1</v>
      </c>
      <c r="BY24" s="7">
        <v>12.4</v>
      </c>
      <c r="BZ24" s="9">
        <v>6.5</v>
      </c>
      <c r="CA24" s="83">
        <f t="shared" si="49"/>
        <v>1.1881188118811881</v>
      </c>
      <c r="CB24" s="98">
        <f t="shared" si="50"/>
        <v>0.96774193548387089</v>
      </c>
      <c r="CC24" s="84">
        <f t="shared" si="51"/>
        <v>1.8461538461538463</v>
      </c>
      <c r="CD24" s="27">
        <v>10.1</v>
      </c>
      <c r="CE24" s="7">
        <v>12.4</v>
      </c>
      <c r="CF24" s="94">
        <v>6.5</v>
      </c>
      <c r="CG24" s="83">
        <f t="shared" si="52"/>
        <v>1.1881188118811881</v>
      </c>
      <c r="CH24" s="98">
        <f t="shared" si="53"/>
        <v>0.96774193548387089</v>
      </c>
      <c r="CI24" s="84">
        <f t="shared" si="54"/>
        <v>1.8461538461538463</v>
      </c>
      <c r="CJ24" s="96">
        <v>10.1</v>
      </c>
      <c r="CK24" s="7">
        <v>12.4</v>
      </c>
      <c r="CL24" s="9">
        <v>6.5</v>
      </c>
      <c r="CM24" s="83">
        <f t="shared" si="55"/>
        <v>1.1881188118811881</v>
      </c>
      <c r="CN24" s="98">
        <f t="shared" si="56"/>
        <v>0.96774193548387089</v>
      </c>
      <c r="CO24" s="84">
        <f t="shared" si="57"/>
        <v>1.8461538461538463</v>
      </c>
      <c r="CP24" s="11">
        <v>11</v>
      </c>
      <c r="CQ24" s="8">
        <v>11.2</v>
      </c>
      <c r="CR24" s="9">
        <v>3.3</v>
      </c>
      <c r="CS24" s="83">
        <f t="shared" si="58"/>
        <v>1.0909090909090908</v>
      </c>
      <c r="CT24" s="98">
        <f t="shared" si="59"/>
        <v>1.0714285714285714</v>
      </c>
      <c r="CU24" s="84">
        <f t="shared" si="60"/>
        <v>1.0657572205051691</v>
      </c>
      <c r="CV24" s="11"/>
      <c r="CW24" s="8"/>
      <c r="CX24" s="9"/>
      <c r="CY24" s="83"/>
      <c r="CZ24" s="98"/>
      <c r="DA24" s="84"/>
      <c r="DB24" s="426"/>
      <c r="DC24" s="429"/>
      <c r="DD24" s="427"/>
      <c r="DE24" s="83"/>
      <c r="DF24" s="98"/>
      <c r="DG24" s="84"/>
      <c r="DH24" s="10">
        <v>10.6</v>
      </c>
      <c r="DI24" s="8">
        <v>10.7</v>
      </c>
      <c r="DJ24" s="13">
        <v>3.2</v>
      </c>
      <c r="DK24" s="83">
        <f t="shared" si="61"/>
        <v>1.1320754716981132</v>
      </c>
      <c r="DL24" s="98">
        <f t="shared" si="62"/>
        <v>1.1214953271028039</v>
      </c>
      <c r="DM24" s="84">
        <f t="shared" si="63"/>
        <v>1.0990621336459554</v>
      </c>
      <c r="DN24" s="10"/>
      <c r="DO24" s="8"/>
      <c r="DP24" s="13"/>
      <c r="DQ24" s="83"/>
      <c r="DR24" s="98"/>
      <c r="DS24" s="84"/>
      <c r="DT24" s="426"/>
      <c r="DU24" s="429"/>
      <c r="DV24" s="427"/>
      <c r="DW24" s="83"/>
      <c r="DX24" s="98"/>
      <c r="DY24" s="84"/>
      <c r="DZ24" s="10">
        <v>9.5</v>
      </c>
      <c r="EA24" s="7">
        <v>9.6</v>
      </c>
      <c r="EB24" s="13">
        <v>3.2</v>
      </c>
      <c r="EC24" s="83">
        <f t="shared" si="64"/>
        <v>1.263157894736842</v>
      </c>
      <c r="ED24" s="98">
        <f t="shared" si="65"/>
        <v>1.25</v>
      </c>
      <c r="EE24" s="84">
        <f t="shared" si="66"/>
        <v>1.0990621336459554</v>
      </c>
      <c r="EF24" s="10"/>
      <c r="EG24" s="7"/>
      <c r="EH24" s="13"/>
      <c r="EI24" s="83"/>
      <c r="EJ24" s="98"/>
      <c r="EK24" s="84"/>
      <c r="EL24" s="426"/>
      <c r="EM24" s="429"/>
      <c r="EN24" s="427"/>
      <c r="EO24" s="83"/>
      <c r="EP24" s="98"/>
      <c r="EQ24" s="84"/>
      <c r="ER24" s="10">
        <v>9.5</v>
      </c>
      <c r="ES24" s="7">
        <v>9.6</v>
      </c>
      <c r="ET24" s="13">
        <v>3.2</v>
      </c>
      <c r="EU24" s="83">
        <f t="shared" si="67"/>
        <v>1.263157894736842</v>
      </c>
      <c r="EV24" s="98">
        <f t="shared" si="68"/>
        <v>1.25</v>
      </c>
      <c r="EW24" s="84">
        <f t="shared" si="69"/>
        <v>1.0990621336459554</v>
      </c>
      <c r="EX24" s="10"/>
      <c r="EY24" s="7"/>
      <c r="EZ24" s="13"/>
      <c r="FA24" s="83"/>
      <c r="FB24" s="98"/>
      <c r="FC24" s="84"/>
      <c r="FD24" s="426"/>
      <c r="FE24" s="429"/>
      <c r="FF24" s="427"/>
      <c r="FG24" s="83"/>
      <c r="FH24" s="98"/>
      <c r="FI24" s="84"/>
      <c r="FJ24" s="12"/>
    </row>
    <row r="25" spans="1:166" ht="15" customHeight="1" x14ac:dyDescent="0.25">
      <c r="A25" s="82">
        <v>2016</v>
      </c>
      <c r="B25" s="1"/>
      <c r="C25" s="26">
        <v>2016</v>
      </c>
      <c r="D25" s="23">
        <v>10.1</v>
      </c>
      <c r="E25" s="9">
        <v>12.4</v>
      </c>
      <c r="F25" s="83">
        <f t="shared" si="30"/>
        <v>1.1881188118811881</v>
      </c>
      <c r="G25" s="84">
        <f t="shared" si="31"/>
        <v>0.96774193548387089</v>
      </c>
      <c r="H25" s="11">
        <v>10.1</v>
      </c>
      <c r="I25" s="9">
        <v>12.4</v>
      </c>
      <c r="J25" s="83">
        <f t="shared" si="32"/>
        <v>1.1881188118811881</v>
      </c>
      <c r="K25" s="84">
        <f t="shared" si="33"/>
        <v>0.96774193548387089</v>
      </c>
      <c r="L25" s="23">
        <v>10.1</v>
      </c>
      <c r="M25" s="9">
        <v>12.4</v>
      </c>
      <c r="N25" s="83">
        <f t="shared" si="34"/>
        <v>1.1881188118811881</v>
      </c>
      <c r="O25" s="84">
        <f t="shared" si="35"/>
        <v>0.96774193548387089</v>
      </c>
      <c r="P25" s="11">
        <v>10.1</v>
      </c>
      <c r="Q25" s="9">
        <v>12.4</v>
      </c>
      <c r="R25" s="83">
        <f t="shared" si="36"/>
        <v>1.1881188118811881</v>
      </c>
      <c r="S25" s="84">
        <f t="shared" si="37"/>
        <v>0.96774193548387089</v>
      </c>
      <c r="T25" s="664">
        <v>11</v>
      </c>
      <c r="U25" s="665">
        <v>11.2</v>
      </c>
      <c r="V25" s="83">
        <f t="shared" si="38"/>
        <v>1.0909090909090908</v>
      </c>
      <c r="W25" s="84">
        <f t="shared" si="39"/>
        <v>1.0714285714285714</v>
      </c>
      <c r="X25" s="10"/>
      <c r="Y25" s="9"/>
      <c r="Z25" s="83"/>
      <c r="AA25" s="84"/>
      <c r="AB25" s="10"/>
      <c r="AC25" s="9"/>
      <c r="AD25" s="83"/>
      <c r="AE25" s="84"/>
      <c r="AF25" s="10">
        <v>10.8</v>
      </c>
      <c r="AG25" s="9">
        <v>11</v>
      </c>
      <c r="AH25" s="65">
        <f t="shared" si="40"/>
        <v>1.1111111111111109</v>
      </c>
      <c r="AI25" s="66">
        <f t="shared" si="41"/>
        <v>1.0909090909090908</v>
      </c>
      <c r="AJ25" s="10"/>
      <c r="AK25" s="9"/>
      <c r="AL25" s="65"/>
      <c r="AM25" s="66"/>
      <c r="AN25" s="426"/>
      <c r="AO25" s="427"/>
      <c r="AP25" s="65"/>
      <c r="AQ25" s="66"/>
      <c r="AR25" s="10">
        <v>9.8000000000000007</v>
      </c>
      <c r="AS25" s="9">
        <v>9.9</v>
      </c>
      <c r="AT25" s="65">
        <f t="shared" si="42"/>
        <v>1.2244897959183672</v>
      </c>
      <c r="AU25" s="66">
        <f t="shared" si="43"/>
        <v>1.2121212121212122</v>
      </c>
      <c r="AV25" s="10"/>
      <c r="AW25" s="9"/>
      <c r="AX25" s="65"/>
      <c r="AY25" s="66"/>
      <c r="AZ25" s="426"/>
      <c r="BA25" s="427"/>
      <c r="BB25" s="65"/>
      <c r="BC25" s="66"/>
      <c r="BD25" s="10">
        <v>9.5</v>
      </c>
      <c r="BE25" s="9">
        <v>9.6</v>
      </c>
      <c r="BF25" s="65">
        <f t="shared" si="44"/>
        <v>1.263157894736842</v>
      </c>
      <c r="BG25" s="66">
        <f t="shared" si="45"/>
        <v>1.25</v>
      </c>
      <c r="BH25" s="10"/>
      <c r="BI25" s="9"/>
      <c r="BJ25" s="65"/>
      <c r="BK25" s="66"/>
      <c r="BL25" s="428"/>
      <c r="BM25" s="427"/>
      <c r="BN25" s="65"/>
      <c r="BO25" s="66"/>
      <c r="BP25" s="12"/>
      <c r="BQ25" s="1"/>
      <c r="BR25" s="27">
        <v>10.1</v>
      </c>
      <c r="BS25" s="7">
        <v>12.4</v>
      </c>
      <c r="BT25" s="94">
        <v>6.5</v>
      </c>
      <c r="BU25" s="83">
        <f t="shared" si="46"/>
        <v>1.1881188118811881</v>
      </c>
      <c r="BV25" s="98">
        <f t="shared" si="47"/>
        <v>0.96774193548387089</v>
      </c>
      <c r="BW25" s="84">
        <f t="shared" si="48"/>
        <v>1.8461538461538463</v>
      </c>
      <c r="BX25" s="96">
        <v>10.1</v>
      </c>
      <c r="BY25" s="7">
        <v>12.4</v>
      </c>
      <c r="BZ25" s="9">
        <v>6.5</v>
      </c>
      <c r="CA25" s="83">
        <f t="shared" si="49"/>
        <v>1.1881188118811881</v>
      </c>
      <c r="CB25" s="98">
        <f t="shared" si="50"/>
        <v>0.96774193548387089</v>
      </c>
      <c r="CC25" s="84">
        <f t="shared" si="51"/>
        <v>1.8461538461538463</v>
      </c>
      <c r="CD25" s="27">
        <v>10.1</v>
      </c>
      <c r="CE25" s="7">
        <v>12.4</v>
      </c>
      <c r="CF25" s="94">
        <v>6.5</v>
      </c>
      <c r="CG25" s="83">
        <f t="shared" si="52"/>
        <v>1.1881188118811881</v>
      </c>
      <c r="CH25" s="98">
        <f t="shared" si="53"/>
        <v>0.96774193548387089</v>
      </c>
      <c r="CI25" s="84">
        <f t="shared" si="54"/>
        <v>1.8461538461538463</v>
      </c>
      <c r="CJ25" s="96">
        <v>10.1</v>
      </c>
      <c r="CK25" s="7">
        <v>12.4</v>
      </c>
      <c r="CL25" s="9">
        <v>6.5</v>
      </c>
      <c r="CM25" s="83">
        <f t="shared" si="55"/>
        <v>1.1881188118811881</v>
      </c>
      <c r="CN25" s="98">
        <f t="shared" si="56"/>
        <v>0.96774193548387089</v>
      </c>
      <c r="CO25" s="84">
        <f t="shared" si="57"/>
        <v>1.8461538461538463</v>
      </c>
      <c r="CP25" s="11">
        <v>11</v>
      </c>
      <c r="CQ25" s="8">
        <v>11.2</v>
      </c>
      <c r="CR25" s="9">
        <v>3.3</v>
      </c>
      <c r="CS25" s="83">
        <f t="shared" si="58"/>
        <v>1.0909090909090908</v>
      </c>
      <c r="CT25" s="98">
        <f t="shared" si="59"/>
        <v>1.0714285714285714</v>
      </c>
      <c r="CU25" s="84">
        <f t="shared" si="60"/>
        <v>1.0657572205051691</v>
      </c>
      <c r="CV25" s="11"/>
      <c r="CW25" s="8"/>
      <c r="CX25" s="9"/>
      <c r="CY25" s="83"/>
      <c r="CZ25" s="98"/>
      <c r="DA25" s="84"/>
      <c r="DB25" s="426"/>
      <c r="DC25" s="429"/>
      <c r="DD25" s="427"/>
      <c r="DE25" s="83"/>
      <c r="DF25" s="98"/>
      <c r="DG25" s="84"/>
      <c r="DH25" s="10">
        <v>10.6</v>
      </c>
      <c r="DI25" s="8">
        <v>10.7</v>
      </c>
      <c r="DJ25" s="13">
        <v>3.2</v>
      </c>
      <c r="DK25" s="83">
        <f t="shared" si="61"/>
        <v>1.1320754716981132</v>
      </c>
      <c r="DL25" s="98">
        <f t="shared" si="62"/>
        <v>1.1214953271028039</v>
      </c>
      <c r="DM25" s="84">
        <f t="shared" si="63"/>
        <v>1.0990621336459554</v>
      </c>
      <c r="DN25" s="10"/>
      <c r="DO25" s="8"/>
      <c r="DP25" s="13"/>
      <c r="DQ25" s="83"/>
      <c r="DR25" s="98"/>
      <c r="DS25" s="84"/>
      <c r="DT25" s="426"/>
      <c r="DU25" s="429"/>
      <c r="DV25" s="427"/>
      <c r="DW25" s="83"/>
      <c r="DX25" s="98"/>
      <c r="DY25" s="84"/>
      <c r="DZ25" s="10">
        <v>9.5</v>
      </c>
      <c r="EA25" s="7">
        <v>9.6</v>
      </c>
      <c r="EB25" s="13">
        <v>3.2</v>
      </c>
      <c r="EC25" s="83">
        <f t="shared" si="64"/>
        <v>1.263157894736842</v>
      </c>
      <c r="ED25" s="98">
        <f t="shared" si="65"/>
        <v>1.25</v>
      </c>
      <c r="EE25" s="84">
        <f t="shared" si="66"/>
        <v>1.0990621336459554</v>
      </c>
      <c r="EF25" s="10"/>
      <c r="EG25" s="7"/>
      <c r="EH25" s="13"/>
      <c r="EI25" s="83"/>
      <c r="EJ25" s="98"/>
      <c r="EK25" s="84"/>
      <c r="EL25" s="426"/>
      <c r="EM25" s="429"/>
      <c r="EN25" s="427"/>
      <c r="EO25" s="83"/>
      <c r="EP25" s="98"/>
      <c r="EQ25" s="84"/>
      <c r="ER25" s="10">
        <v>9.5</v>
      </c>
      <c r="ES25" s="7">
        <v>9.6</v>
      </c>
      <c r="ET25" s="13">
        <v>3.2</v>
      </c>
      <c r="EU25" s="83">
        <f t="shared" si="67"/>
        <v>1.263157894736842</v>
      </c>
      <c r="EV25" s="98">
        <f t="shared" si="68"/>
        <v>1.25</v>
      </c>
      <c r="EW25" s="84">
        <f t="shared" si="69"/>
        <v>1.0990621336459554</v>
      </c>
      <c r="EX25" s="10"/>
      <c r="EY25" s="7"/>
      <c r="EZ25" s="13"/>
      <c r="FA25" s="83"/>
      <c r="FB25" s="98"/>
      <c r="FC25" s="84"/>
      <c r="FD25" s="426"/>
      <c r="FE25" s="429"/>
      <c r="FF25" s="427"/>
      <c r="FG25" s="83"/>
      <c r="FH25" s="98"/>
      <c r="FI25" s="84"/>
      <c r="FJ25" s="12"/>
    </row>
    <row r="26" spans="1:166" s="728" customFormat="1" ht="15" customHeight="1" thickBot="1" x14ac:dyDescent="0.3">
      <c r="A26" s="710">
        <v>2017</v>
      </c>
      <c r="B26" s="711"/>
      <c r="C26" s="712">
        <v>2017</v>
      </c>
      <c r="D26" s="713">
        <v>10.1</v>
      </c>
      <c r="E26" s="714">
        <v>12.4</v>
      </c>
      <c r="F26" s="99">
        <f t="shared" si="30"/>
        <v>1.1881188118811881</v>
      </c>
      <c r="G26" s="100">
        <f t="shared" si="31"/>
        <v>0.96774193548387089</v>
      </c>
      <c r="H26" s="715">
        <v>10.1</v>
      </c>
      <c r="I26" s="714">
        <v>12.4</v>
      </c>
      <c r="J26" s="99">
        <f t="shared" si="32"/>
        <v>1.1881188118811881</v>
      </c>
      <c r="K26" s="100">
        <f t="shared" si="33"/>
        <v>0.96774193548387089</v>
      </c>
      <c r="L26" s="713">
        <v>10.1</v>
      </c>
      <c r="M26" s="714">
        <v>12.4</v>
      </c>
      <c r="N26" s="99">
        <f t="shared" si="34"/>
        <v>1.1881188118811881</v>
      </c>
      <c r="O26" s="100">
        <f t="shared" si="35"/>
        <v>0.96774193548387089</v>
      </c>
      <c r="P26" s="715">
        <v>10.1</v>
      </c>
      <c r="Q26" s="714">
        <v>12.4</v>
      </c>
      <c r="R26" s="99">
        <f t="shared" si="36"/>
        <v>1.1881188118811881</v>
      </c>
      <c r="S26" s="100">
        <f t="shared" si="37"/>
        <v>0.96774193548387089</v>
      </c>
      <c r="T26" s="716">
        <v>11</v>
      </c>
      <c r="U26" s="717">
        <v>11.2</v>
      </c>
      <c r="V26" s="99">
        <f t="shared" si="38"/>
        <v>1.0909090909090908</v>
      </c>
      <c r="W26" s="100">
        <f t="shared" si="39"/>
        <v>1.0714285714285714</v>
      </c>
      <c r="X26" s="718"/>
      <c r="Y26" s="714"/>
      <c r="Z26" s="99"/>
      <c r="AA26" s="100"/>
      <c r="AB26" s="718"/>
      <c r="AC26" s="714"/>
      <c r="AD26" s="99"/>
      <c r="AE26" s="100"/>
      <c r="AF26" s="718">
        <v>10.8</v>
      </c>
      <c r="AG26" s="714">
        <v>11</v>
      </c>
      <c r="AH26" s="101">
        <f t="shared" si="40"/>
        <v>1.1111111111111109</v>
      </c>
      <c r="AI26" s="102">
        <f t="shared" si="41"/>
        <v>1.0909090909090908</v>
      </c>
      <c r="AJ26" s="718"/>
      <c r="AK26" s="714"/>
      <c r="AL26" s="101"/>
      <c r="AM26" s="102"/>
      <c r="AN26" s="719"/>
      <c r="AO26" s="720"/>
      <c r="AP26" s="101"/>
      <c r="AQ26" s="102"/>
      <c r="AR26" s="718">
        <v>9.8000000000000007</v>
      </c>
      <c r="AS26" s="714">
        <v>9.9</v>
      </c>
      <c r="AT26" s="101">
        <f t="shared" si="42"/>
        <v>1.2244897959183672</v>
      </c>
      <c r="AU26" s="102">
        <f t="shared" si="43"/>
        <v>1.2121212121212122</v>
      </c>
      <c r="AV26" s="718"/>
      <c r="AW26" s="714"/>
      <c r="AX26" s="101"/>
      <c r="AY26" s="102"/>
      <c r="AZ26" s="719"/>
      <c r="BA26" s="720"/>
      <c r="BB26" s="101"/>
      <c r="BC26" s="102"/>
      <c r="BD26" s="718">
        <v>9.5</v>
      </c>
      <c r="BE26" s="714">
        <v>9.6</v>
      </c>
      <c r="BF26" s="101">
        <f t="shared" si="44"/>
        <v>1.263157894736842</v>
      </c>
      <c r="BG26" s="102">
        <f t="shared" si="45"/>
        <v>1.25</v>
      </c>
      <c r="BH26" s="718"/>
      <c r="BI26" s="714"/>
      <c r="BJ26" s="101"/>
      <c r="BK26" s="102"/>
      <c r="BL26" s="721"/>
      <c r="BM26" s="720"/>
      <c r="BN26" s="101"/>
      <c r="BO26" s="102"/>
      <c r="BP26" s="722"/>
      <c r="BQ26" s="711"/>
      <c r="BR26" s="22">
        <v>10.1</v>
      </c>
      <c r="BS26" s="723">
        <v>12.4</v>
      </c>
      <c r="BT26" s="724">
        <v>6.5</v>
      </c>
      <c r="BU26" s="99">
        <f t="shared" si="46"/>
        <v>1.1881188118811881</v>
      </c>
      <c r="BV26" s="725">
        <f t="shared" si="47"/>
        <v>0.96774193548387089</v>
      </c>
      <c r="BW26" s="100">
        <f t="shared" si="48"/>
        <v>1.8461538461538463</v>
      </c>
      <c r="BX26" s="726">
        <v>10.1</v>
      </c>
      <c r="BY26" s="723">
        <v>12.4</v>
      </c>
      <c r="BZ26" s="714">
        <v>6.5</v>
      </c>
      <c r="CA26" s="99">
        <f t="shared" si="49"/>
        <v>1.1881188118811881</v>
      </c>
      <c r="CB26" s="725">
        <f t="shared" si="50"/>
        <v>0.96774193548387089</v>
      </c>
      <c r="CC26" s="100">
        <f t="shared" si="51"/>
        <v>1.8461538461538463</v>
      </c>
      <c r="CD26" s="22">
        <v>10.1</v>
      </c>
      <c r="CE26" s="723">
        <v>12.4</v>
      </c>
      <c r="CF26" s="724">
        <v>6.5</v>
      </c>
      <c r="CG26" s="99">
        <f t="shared" si="52"/>
        <v>1.1881188118811881</v>
      </c>
      <c r="CH26" s="725">
        <f t="shared" si="53"/>
        <v>0.96774193548387089</v>
      </c>
      <c r="CI26" s="100">
        <f t="shared" si="54"/>
        <v>1.8461538461538463</v>
      </c>
      <c r="CJ26" s="726">
        <v>10.1</v>
      </c>
      <c r="CK26" s="723">
        <v>12.4</v>
      </c>
      <c r="CL26" s="714">
        <v>6.5</v>
      </c>
      <c r="CM26" s="99">
        <f t="shared" si="55"/>
        <v>1.1881188118811881</v>
      </c>
      <c r="CN26" s="725">
        <f t="shared" si="56"/>
        <v>0.96774193548387089</v>
      </c>
      <c r="CO26" s="100">
        <f t="shared" si="57"/>
        <v>1.8461538461538463</v>
      </c>
      <c r="CP26" s="715">
        <v>11</v>
      </c>
      <c r="CQ26" s="731">
        <v>11.2</v>
      </c>
      <c r="CR26" s="714">
        <v>3.3</v>
      </c>
      <c r="CS26" s="99">
        <f t="shared" si="58"/>
        <v>1.0909090909090908</v>
      </c>
      <c r="CT26" s="725">
        <f t="shared" si="59"/>
        <v>1.0714285714285714</v>
      </c>
      <c r="CU26" s="100">
        <f t="shared" si="60"/>
        <v>1.0657572205051691</v>
      </c>
      <c r="CV26" s="715"/>
      <c r="CW26" s="731"/>
      <c r="CX26" s="714"/>
      <c r="CY26" s="99"/>
      <c r="CZ26" s="725"/>
      <c r="DA26" s="100"/>
      <c r="DB26" s="719"/>
      <c r="DC26" s="727"/>
      <c r="DD26" s="720"/>
      <c r="DE26" s="99"/>
      <c r="DF26" s="725"/>
      <c r="DG26" s="100"/>
      <c r="DH26" s="718">
        <v>10.6</v>
      </c>
      <c r="DI26" s="731">
        <v>10.7</v>
      </c>
      <c r="DJ26" s="732">
        <v>3.2</v>
      </c>
      <c r="DK26" s="99">
        <f t="shared" si="61"/>
        <v>1.1320754716981132</v>
      </c>
      <c r="DL26" s="725">
        <f t="shared" si="62"/>
        <v>1.1214953271028039</v>
      </c>
      <c r="DM26" s="100">
        <f t="shared" si="63"/>
        <v>1.0990621336459554</v>
      </c>
      <c r="DN26" s="718"/>
      <c r="DO26" s="731"/>
      <c r="DP26" s="732"/>
      <c r="DQ26" s="99"/>
      <c r="DR26" s="725"/>
      <c r="DS26" s="100"/>
      <c r="DT26" s="719"/>
      <c r="DU26" s="727"/>
      <c r="DV26" s="720"/>
      <c r="DW26" s="99"/>
      <c r="DX26" s="725"/>
      <c r="DY26" s="100"/>
      <c r="DZ26" s="718">
        <v>9.5</v>
      </c>
      <c r="EA26" s="723">
        <v>9.6</v>
      </c>
      <c r="EB26" s="732">
        <v>3.2</v>
      </c>
      <c r="EC26" s="99">
        <f t="shared" si="64"/>
        <v>1.263157894736842</v>
      </c>
      <c r="ED26" s="725">
        <f t="shared" si="65"/>
        <v>1.25</v>
      </c>
      <c r="EE26" s="100">
        <f t="shared" si="66"/>
        <v>1.0990621336459554</v>
      </c>
      <c r="EF26" s="718"/>
      <c r="EG26" s="723"/>
      <c r="EH26" s="732"/>
      <c r="EI26" s="99"/>
      <c r="EJ26" s="725"/>
      <c r="EK26" s="100"/>
      <c r="EL26" s="719"/>
      <c r="EM26" s="727"/>
      <c r="EN26" s="720"/>
      <c r="EO26" s="99"/>
      <c r="EP26" s="725"/>
      <c r="EQ26" s="100"/>
      <c r="ER26" s="718">
        <v>9.5</v>
      </c>
      <c r="ES26" s="723">
        <v>9.6</v>
      </c>
      <c r="ET26" s="732">
        <v>3.2</v>
      </c>
      <c r="EU26" s="99">
        <f t="shared" si="67"/>
        <v>1.263157894736842</v>
      </c>
      <c r="EV26" s="725">
        <f t="shared" si="68"/>
        <v>1.25</v>
      </c>
      <c r="EW26" s="100">
        <f t="shared" si="69"/>
        <v>1.0990621336459554</v>
      </c>
      <c r="EX26" s="718"/>
      <c r="EY26" s="723"/>
      <c r="EZ26" s="732"/>
      <c r="FA26" s="99"/>
      <c r="FB26" s="725"/>
      <c r="FC26" s="100"/>
      <c r="FD26" s="719"/>
      <c r="FE26" s="727"/>
      <c r="FF26" s="720"/>
      <c r="FG26" s="99"/>
      <c r="FH26" s="725"/>
      <c r="FI26" s="100"/>
      <c r="FJ26" s="722"/>
    </row>
    <row r="27" spans="1:166" ht="15" customHeight="1" x14ac:dyDescent="0.25">
      <c r="A27" s="688">
        <v>2018</v>
      </c>
      <c r="B27" s="1"/>
      <c r="C27" s="689">
        <v>2018</v>
      </c>
      <c r="D27" s="690">
        <v>10.1</v>
      </c>
      <c r="E27" s="691">
        <v>12.4</v>
      </c>
      <c r="F27" s="692">
        <f t="shared" si="30"/>
        <v>1.1881188118811881</v>
      </c>
      <c r="G27" s="693">
        <f t="shared" si="31"/>
        <v>0.96774193548387089</v>
      </c>
      <c r="H27" s="694">
        <v>10.9</v>
      </c>
      <c r="I27" s="691">
        <v>13.4</v>
      </c>
      <c r="J27" s="692">
        <f t="shared" si="32"/>
        <v>1.1009174311926606</v>
      </c>
      <c r="K27" s="693">
        <f t="shared" si="33"/>
        <v>0.89552238805970152</v>
      </c>
      <c r="L27" s="690">
        <v>10.1</v>
      </c>
      <c r="M27" s="691">
        <v>12.4</v>
      </c>
      <c r="N27" s="692">
        <f t="shared" si="34"/>
        <v>1.1881188118811881</v>
      </c>
      <c r="O27" s="693">
        <f t="shared" si="35"/>
        <v>0.96774193548387089</v>
      </c>
      <c r="P27" s="694">
        <v>10.9</v>
      </c>
      <c r="Q27" s="691">
        <v>13.4</v>
      </c>
      <c r="R27" s="692">
        <f t="shared" si="36"/>
        <v>1.1009174311926606</v>
      </c>
      <c r="S27" s="693">
        <f t="shared" si="37"/>
        <v>0.89552238805970152</v>
      </c>
      <c r="T27" s="695">
        <v>11</v>
      </c>
      <c r="U27" s="696">
        <v>12.6</v>
      </c>
      <c r="V27" s="692">
        <f t="shared" si="38"/>
        <v>1.0909090909090908</v>
      </c>
      <c r="W27" s="693">
        <f t="shared" si="39"/>
        <v>0.95238095238095244</v>
      </c>
      <c r="X27" s="697"/>
      <c r="Y27" s="691"/>
      <c r="Z27" s="692"/>
      <c r="AA27" s="693"/>
      <c r="AB27" s="697"/>
      <c r="AC27" s="691"/>
      <c r="AD27" s="692"/>
      <c r="AE27" s="693"/>
      <c r="AF27" s="697">
        <v>10.8</v>
      </c>
      <c r="AG27" s="691">
        <v>12.2</v>
      </c>
      <c r="AH27" s="698">
        <f t="shared" si="40"/>
        <v>1.1111111111111109</v>
      </c>
      <c r="AI27" s="699">
        <f t="shared" si="41"/>
        <v>0.98360655737704927</v>
      </c>
      <c r="AJ27" s="697"/>
      <c r="AK27" s="691"/>
      <c r="AL27" s="698"/>
      <c r="AM27" s="699"/>
      <c r="AN27" s="700"/>
      <c r="AO27" s="701"/>
      <c r="AP27" s="698"/>
      <c r="AQ27" s="699"/>
      <c r="AR27" s="697">
        <v>9.8000000000000007</v>
      </c>
      <c r="AS27" s="691">
        <v>11.4</v>
      </c>
      <c r="AT27" s="698">
        <f t="shared" si="42"/>
        <v>1.2244897959183672</v>
      </c>
      <c r="AU27" s="699">
        <f t="shared" si="43"/>
        <v>1.0526315789473684</v>
      </c>
      <c r="AV27" s="697"/>
      <c r="AW27" s="691"/>
      <c r="AX27" s="698"/>
      <c r="AY27" s="699"/>
      <c r="AZ27" s="700"/>
      <c r="BA27" s="701"/>
      <c r="BB27" s="698"/>
      <c r="BC27" s="699"/>
      <c r="BD27" s="697">
        <v>9.5</v>
      </c>
      <c r="BE27" s="691">
        <v>11</v>
      </c>
      <c r="BF27" s="698">
        <f t="shared" si="44"/>
        <v>1.263157894736842</v>
      </c>
      <c r="BG27" s="699">
        <f t="shared" si="45"/>
        <v>1.0909090909090908</v>
      </c>
      <c r="BH27" s="697"/>
      <c r="BI27" s="691"/>
      <c r="BJ27" s="698"/>
      <c r="BK27" s="699"/>
      <c r="BL27" s="702"/>
      <c r="BM27" s="701"/>
      <c r="BN27" s="698"/>
      <c r="BO27" s="699"/>
      <c r="BP27" s="703"/>
      <c r="BQ27" s="1"/>
      <c r="BR27" s="704">
        <v>10.9</v>
      </c>
      <c r="BS27" s="705">
        <v>13.4</v>
      </c>
      <c r="BT27" s="706">
        <v>6.9</v>
      </c>
      <c r="BU27" s="692">
        <f t="shared" si="46"/>
        <v>1.1009174311926606</v>
      </c>
      <c r="BV27" s="707">
        <f t="shared" si="47"/>
        <v>0.89552238805970152</v>
      </c>
      <c r="BW27" s="693">
        <f t="shared" si="48"/>
        <v>1.7391304347826086</v>
      </c>
      <c r="BX27" s="708">
        <v>10.9</v>
      </c>
      <c r="BY27" s="705">
        <v>13.4</v>
      </c>
      <c r="BZ27" s="691">
        <v>6.7</v>
      </c>
      <c r="CA27" s="692">
        <f t="shared" si="49"/>
        <v>1.1009174311926606</v>
      </c>
      <c r="CB27" s="707">
        <f t="shared" si="50"/>
        <v>0.89552238805970152</v>
      </c>
      <c r="CC27" s="693">
        <f t="shared" si="51"/>
        <v>1.791044776119403</v>
      </c>
      <c r="CD27" s="704">
        <v>10.9</v>
      </c>
      <c r="CE27" s="705">
        <v>13.4</v>
      </c>
      <c r="CF27" s="706">
        <v>6.9</v>
      </c>
      <c r="CG27" s="692">
        <f t="shared" si="52"/>
        <v>1.1009174311926606</v>
      </c>
      <c r="CH27" s="707">
        <f t="shared" si="53"/>
        <v>0.89552238805970152</v>
      </c>
      <c r="CI27" s="693">
        <f t="shared" si="54"/>
        <v>1.7391304347826086</v>
      </c>
      <c r="CJ27" s="708">
        <v>10.9</v>
      </c>
      <c r="CK27" s="705">
        <v>13.4</v>
      </c>
      <c r="CL27" s="691">
        <v>6.7</v>
      </c>
      <c r="CM27" s="692">
        <f t="shared" si="55"/>
        <v>1.1009174311926606</v>
      </c>
      <c r="CN27" s="707">
        <f t="shared" si="56"/>
        <v>0.89552238805970152</v>
      </c>
      <c r="CO27" s="693">
        <f t="shared" si="57"/>
        <v>1.791044776119403</v>
      </c>
      <c r="CP27" s="694">
        <v>11</v>
      </c>
      <c r="CQ27" s="729">
        <v>12</v>
      </c>
      <c r="CR27" s="691">
        <v>3.3</v>
      </c>
      <c r="CS27" s="692">
        <f t="shared" si="58"/>
        <v>1.0909090909090908</v>
      </c>
      <c r="CT27" s="707">
        <f t="shared" si="59"/>
        <v>1</v>
      </c>
      <c r="CU27" s="693">
        <f t="shared" si="60"/>
        <v>1.0657572205051691</v>
      </c>
      <c r="CV27" s="694"/>
      <c r="CW27" s="729"/>
      <c r="CX27" s="691"/>
      <c r="CY27" s="692"/>
      <c r="CZ27" s="707"/>
      <c r="DA27" s="693"/>
      <c r="DB27" s="700"/>
      <c r="DC27" s="709"/>
      <c r="DD27" s="701"/>
      <c r="DE27" s="692"/>
      <c r="DF27" s="707"/>
      <c r="DG27" s="693"/>
      <c r="DH27" s="697">
        <v>10.6</v>
      </c>
      <c r="DI27" s="729">
        <v>11.6</v>
      </c>
      <c r="DJ27" s="730">
        <v>3.2</v>
      </c>
      <c r="DK27" s="692">
        <f t="shared" si="61"/>
        <v>1.1320754716981132</v>
      </c>
      <c r="DL27" s="707">
        <f t="shared" si="62"/>
        <v>1.0344827586206897</v>
      </c>
      <c r="DM27" s="693">
        <f t="shared" si="63"/>
        <v>1.0990621336459554</v>
      </c>
      <c r="DN27" s="697"/>
      <c r="DO27" s="729"/>
      <c r="DP27" s="730"/>
      <c r="DQ27" s="692"/>
      <c r="DR27" s="707"/>
      <c r="DS27" s="693"/>
      <c r="DT27" s="700"/>
      <c r="DU27" s="709"/>
      <c r="DV27" s="701"/>
      <c r="DW27" s="692"/>
      <c r="DX27" s="707"/>
      <c r="DY27" s="693"/>
      <c r="DZ27" s="697">
        <v>9.5</v>
      </c>
      <c r="EA27" s="705">
        <v>10.6</v>
      </c>
      <c r="EB27" s="730">
        <v>3.2</v>
      </c>
      <c r="EC27" s="692">
        <f t="shared" si="64"/>
        <v>1.263157894736842</v>
      </c>
      <c r="ED27" s="707">
        <f t="shared" si="65"/>
        <v>1.1320754716981132</v>
      </c>
      <c r="EE27" s="693">
        <f t="shared" si="66"/>
        <v>1.0990621336459554</v>
      </c>
      <c r="EF27" s="697"/>
      <c r="EG27" s="705"/>
      <c r="EH27" s="730"/>
      <c r="EI27" s="692"/>
      <c r="EJ27" s="707"/>
      <c r="EK27" s="693"/>
      <c r="EL27" s="700"/>
      <c r="EM27" s="709"/>
      <c r="EN27" s="701"/>
      <c r="EO27" s="692"/>
      <c r="EP27" s="707"/>
      <c r="EQ27" s="693"/>
      <c r="ER27" s="697">
        <v>9.5</v>
      </c>
      <c r="ES27" s="705">
        <v>10.6</v>
      </c>
      <c r="ET27" s="730">
        <v>3.2</v>
      </c>
      <c r="EU27" s="692">
        <f t="shared" si="67"/>
        <v>1.263157894736842</v>
      </c>
      <c r="EV27" s="707">
        <f t="shared" si="68"/>
        <v>1.1320754716981132</v>
      </c>
      <c r="EW27" s="693">
        <f t="shared" si="69"/>
        <v>1.0990621336459554</v>
      </c>
      <c r="EX27" s="697"/>
      <c r="EY27" s="705"/>
      <c r="EZ27" s="730"/>
      <c r="FA27" s="692"/>
      <c r="FB27" s="707"/>
      <c r="FC27" s="693"/>
      <c r="FD27" s="700"/>
      <c r="FE27" s="709"/>
      <c r="FF27" s="701"/>
      <c r="FG27" s="692"/>
      <c r="FH27" s="707"/>
      <c r="FI27" s="693"/>
      <c r="FJ27" s="703"/>
    </row>
    <row r="28" spans="1:166" ht="15" customHeight="1" x14ac:dyDescent="0.25">
      <c r="A28" s="82">
        <v>2019</v>
      </c>
      <c r="B28" s="1"/>
      <c r="C28" s="26">
        <v>2019</v>
      </c>
      <c r="D28" s="23">
        <v>10.1</v>
      </c>
      <c r="E28" s="9">
        <v>12.4</v>
      </c>
      <c r="F28" s="83">
        <f t="shared" si="30"/>
        <v>1.1881188118811881</v>
      </c>
      <c r="G28" s="84">
        <f t="shared" si="31"/>
        <v>0.96774193548387089</v>
      </c>
      <c r="H28" s="11">
        <v>10.9</v>
      </c>
      <c r="I28" s="9">
        <v>13.4</v>
      </c>
      <c r="J28" s="83">
        <f t="shared" si="32"/>
        <v>1.1009174311926606</v>
      </c>
      <c r="K28" s="84">
        <f t="shared" si="33"/>
        <v>0.89552238805970152</v>
      </c>
      <c r="L28" s="23">
        <v>10.1</v>
      </c>
      <c r="M28" s="9">
        <v>12.4</v>
      </c>
      <c r="N28" s="83">
        <f t="shared" si="34"/>
        <v>1.1881188118811881</v>
      </c>
      <c r="O28" s="84">
        <f t="shared" si="35"/>
        <v>0.96774193548387089</v>
      </c>
      <c r="P28" s="11">
        <v>10.9</v>
      </c>
      <c r="Q28" s="9">
        <v>13.4</v>
      </c>
      <c r="R28" s="83">
        <f t="shared" si="36"/>
        <v>1.1009174311926606</v>
      </c>
      <c r="S28" s="84">
        <f t="shared" si="37"/>
        <v>0.89552238805970152</v>
      </c>
      <c r="T28" s="664">
        <v>11</v>
      </c>
      <c r="U28" s="665">
        <v>12.6</v>
      </c>
      <c r="V28" s="83">
        <f t="shared" si="38"/>
        <v>1.0909090909090908</v>
      </c>
      <c r="W28" s="84">
        <f t="shared" si="39"/>
        <v>0.95238095238095244</v>
      </c>
      <c r="X28" s="10"/>
      <c r="Y28" s="9"/>
      <c r="Z28" s="83"/>
      <c r="AA28" s="84"/>
      <c r="AB28" s="10"/>
      <c r="AC28" s="9"/>
      <c r="AD28" s="83"/>
      <c r="AE28" s="84"/>
      <c r="AF28" s="10">
        <v>10.8</v>
      </c>
      <c r="AG28" s="9">
        <v>12.2</v>
      </c>
      <c r="AH28" s="65">
        <f t="shared" si="40"/>
        <v>1.1111111111111109</v>
      </c>
      <c r="AI28" s="66">
        <f t="shared" si="41"/>
        <v>0.98360655737704927</v>
      </c>
      <c r="AJ28" s="10"/>
      <c r="AK28" s="9"/>
      <c r="AL28" s="65"/>
      <c r="AM28" s="66"/>
      <c r="AN28" s="426"/>
      <c r="AO28" s="427"/>
      <c r="AP28" s="65"/>
      <c r="AQ28" s="66"/>
      <c r="AR28" s="10">
        <v>9.8000000000000007</v>
      </c>
      <c r="AS28" s="9">
        <v>11.4</v>
      </c>
      <c r="AT28" s="65">
        <f t="shared" si="42"/>
        <v>1.2244897959183672</v>
      </c>
      <c r="AU28" s="66">
        <f t="shared" si="43"/>
        <v>1.0526315789473684</v>
      </c>
      <c r="AV28" s="10"/>
      <c r="AW28" s="9"/>
      <c r="AX28" s="65"/>
      <c r="AY28" s="66"/>
      <c r="AZ28" s="426"/>
      <c r="BA28" s="427"/>
      <c r="BB28" s="65"/>
      <c r="BC28" s="66"/>
      <c r="BD28" s="10">
        <v>9.5</v>
      </c>
      <c r="BE28" s="9">
        <v>11</v>
      </c>
      <c r="BF28" s="65">
        <f t="shared" si="44"/>
        <v>1.263157894736842</v>
      </c>
      <c r="BG28" s="66">
        <f t="shared" si="45"/>
        <v>1.0909090909090908</v>
      </c>
      <c r="BH28" s="10"/>
      <c r="BI28" s="9"/>
      <c r="BJ28" s="65"/>
      <c r="BK28" s="66"/>
      <c r="BL28" s="428"/>
      <c r="BM28" s="427"/>
      <c r="BN28" s="65"/>
      <c r="BO28" s="66"/>
      <c r="BP28" s="12"/>
      <c r="BQ28" s="1"/>
      <c r="BR28" s="27">
        <v>10.9</v>
      </c>
      <c r="BS28" s="94">
        <v>13.4</v>
      </c>
      <c r="BT28" s="94">
        <v>6.9</v>
      </c>
      <c r="BU28" s="83">
        <f t="shared" si="46"/>
        <v>1.1009174311926606</v>
      </c>
      <c r="BV28" s="98">
        <f t="shared" si="47"/>
        <v>0.89552238805970152</v>
      </c>
      <c r="BW28" s="84">
        <f t="shared" si="48"/>
        <v>1.7391304347826086</v>
      </c>
      <c r="BX28" s="96">
        <v>10.9</v>
      </c>
      <c r="BY28" s="94">
        <v>13.4</v>
      </c>
      <c r="BZ28" s="94">
        <v>6.7</v>
      </c>
      <c r="CA28" s="83">
        <f t="shared" si="49"/>
        <v>1.1009174311926606</v>
      </c>
      <c r="CB28" s="98">
        <f t="shared" si="50"/>
        <v>0.89552238805970152</v>
      </c>
      <c r="CC28" s="84">
        <f t="shared" si="51"/>
        <v>1.791044776119403</v>
      </c>
      <c r="CD28" s="27">
        <v>10.9</v>
      </c>
      <c r="CE28" s="94">
        <v>13.4</v>
      </c>
      <c r="CF28" s="94">
        <v>6.9</v>
      </c>
      <c r="CG28" s="83">
        <f t="shared" si="52"/>
        <v>1.1009174311926606</v>
      </c>
      <c r="CH28" s="98">
        <f t="shared" si="53"/>
        <v>0.89552238805970152</v>
      </c>
      <c r="CI28" s="84">
        <f t="shared" si="54"/>
        <v>1.7391304347826086</v>
      </c>
      <c r="CJ28" s="96">
        <v>10.9</v>
      </c>
      <c r="CK28" s="7">
        <v>13.4</v>
      </c>
      <c r="CL28" s="9">
        <v>6.7</v>
      </c>
      <c r="CM28" s="83">
        <f t="shared" si="55"/>
        <v>1.1009174311926606</v>
      </c>
      <c r="CN28" s="98">
        <f t="shared" si="56"/>
        <v>0.89552238805970152</v>
      </c>
      <c r="CO28" s="84">
        <f t="shared" si="57"/>
        <v>1.791044776119403</v>
      </c>
      <c r="CP28" s="11">
        <v>11</v>
      </c>
      <c r="CQ28" s="8">
        <v>12</v>
      </c>
      <c r="CR28" s="9">
        <v>3.3</v>
      </c>
      <c r="CS28" s="83">
        <f t="shared" si="58"/>
        <v>1.0909090909090908</v>
      </c>
      <c r="CT28" s="98">
        <f t="shared" si="59"/>
        <v>1</v>
      </c>
      <c r="CU28" s="84">
        <f t="shared" si="60"/>
        <v>1.0657572205051691</v>
      </c>
      <c r="CV28" s="11"/>
      <c r="CW28" s="8"/>
      <c r="CX28" s="9"/>
      <c r="CY28" s="83"/>
      <c r="CZ28" s="98"/>
      <c r="DA28" s="84"/>
      <c r="DB28" s="426"/>
      <c r="DC28" s="429"/>
      <c r="DD28" s="427"/>
      <c r="DE28" s="83"/>
      <c r="DF28" s="98"/>
      <c r="DG28" s="84"/>
      <c r="DH28" s="10">
        <v>10.6</v>
      </c>
      <c r="DI28" s="8">
        <v>11.6</v>
      </c>
      <c r="DJ28" s="13">
        <v>3.2</v>
      </c>
      <c r="DK28" s="83">
        <f t="shared" si="61"/>
        <v>1.1320754716981132</v>
      </c>
      <c r="DL28" s="98">
        <f t="shared" si="62"/>
        <v>1.0344827586206897</v>
      </c>
      <c r="DM28" s="84">
        <f t="shared" si="63"/>
        <v>1.0990621336459554</v>
      </c>
      <c r="DN28" s="10"/>
      <c r="DO28" s="8"/>
      <c r="DP28" s="13"/>
      <c r="DQ28" s="83"/>
      <c r="DR28" s="98"/>
      <c r="DS28" s="84"/>
      <c r="DT28" s="426"/>
      <c r="DU28" s="429"/>
      <c r="DV28" s="427"/>
      <c r="DW28" s="83"/>
      <c r="DX28" s="98"/>
      <c r="DY28" s="84"/>
      <c r="DZ28" s="10">
        <v>9.5</v>
      </c>
      <c r="EA28" s="7">
        <v>10.6</v>
      </c>
      <c r="EB28" s="13">
        <v>3.2</v>
      </c>
      <c r="EC28" s="83">
        <f t="shared" si="64"/>
        <v>1.263157894736842</v>
      </c>
      <c r="ED28" s="98">
        <f t="shared" si="65"/>
        <v>1.1320754716981132</v>
      </c>
      <c r="EE28" s="84">
        <f t="shared" si="66"/>
        <v>1.0990621336459554</v>
      </c>
      <c r="EF28" s="10"/>
      <c r="EG28" s="7"/>
      <c r="EH28" s="13"/>
      <c r="EI28" s="83"/>
      <c r="EJ28" s="98"/>
      <c r="EK28" s="84"/>
      <c r="EL28" s="426"/>
      <c r="EM28" s="429"/>
      <c r="EN28" s="427"/>
      <c r="EO28" s="83"/>
      <c r="EP28" s="98"/>
      <c r="EQ28" s="84"/>
      <c r="ER28" s="10">
        <v>9.5</v>
      </c>
      <c r="ES28" s="7">
        <v>10.6</v>
      </c>
      <c r="ET28" s="13">
        <v>3.2</v>
      </c>
      <c r="EU28" s="83">
        <f t="shared" si="67"/>
        <v>1.263157894736842</v>
      </c>
      <c r="EV28" s="98">
        <f t="shared" si="68"/>
        <v>1.1320754716981132</v>
      </c>
      <c r="EW28" s="84">
        <f t="shared" si="69"/>
        <v>1.0990621336459554</v>
      </c>
      <c r="EX28" s="10"/>
      <c r="EY28" s="7"/>
      <c r="EZ28" s="13"/>
      <c r="FA28" s="83"/>
      <c r="FB28" s="98"/>
      <c r="FC28" s="84"/>
      <c r="FD28" s="426"/>
      <c r="FE28" s="429"/>
      <c r="FF28" s="427"/>
      <c r="FG28" s="83"/>
      <c r="FH28" s="98"/>
      <c r="FI28" s="84"/>
      <c r="FJ28" s="12"/>
    </row>
    <row r="29" spans="1:166" ht="15" customHeight="1" x14ac:dyDescent="0.25">
      <c r="A29" s="82">
        <v>2020</v>
      </c>
      <c r="B29" s="1"/>
      <c r="C29" s="26">
        <v>2020</v>
      </c>
      <c r="D29" s="23">
        <v>10.1</v>
      </c>
      <c r="E29" s="9">
        <v>12.4</v>
      </c>
      <c r="F29" s="83">
        <f t="shared" si="30"/>
        <v>1.1881188118811881</v>
      </c>
      <c r="G29" s="84">
        <f t="shared" si="31"/>
        <v>0.96774193548387089</v>
      </c>
      <c r="H29" s="11">
        <v>10.9</v>
      </c>
      <c r="I29" s="9">
        <v>13.4</v>
      </c>
      <c r="J29" s="83">
        <f t="shared" si="32"/>
        <v>1.1009174311926606</v>
      </c>
      <c r="K29" s="84">
        <f t="shared" si="33"/>
        <v>0.89552238805970152</v>
      </c>
      <c r="L29" s="23">
        <v>10.1</v>
      </c>
      <c r="M29" s="9">
        <v>12.4</v>
      </c>
      <c r="N29" s="83">
        <f t="shared" si="34"/>
        <v>1.1881188118811881</v>
      </c>
      <c r="O29" s="84">
        <f t="shared" si="35"/>
        <v>0.96774193548387089</v>
      </c>
      <c r="P29" s="11">
        <v>10.9</v>
      </c>
      <c r="Q29" s="9">
        <v>13.4</v>
      </c>
      <c r="R29" s="83">
        <f t="shared" si="36"/>
        <v>1.1009174311926606</v>
      </c>
      <c r="S29" s="84">
        <f t="shared" si="37"/>
        <v>0.89552238805970152</v>
      </c>
      <c r="T29" s="664">
        <v>11</v>
      </c>
      <c r="U29" s="665">
        <v>12.6</v>
      </c>
      <c r="V29" s="83">
        <f t="shared" si="38"/>
        <v>1.0909090909090908</v>
      </c>
      <c r="W29" s="84">
        <f t="shared" si="39"/>
        <v>0.95238095238095244</v>
      </c>
      <c r="X29" s="10"/>
      <c r="Y29" s="9"/>
      <c r="Z29" s="83"/>
      <c r="AA29" s="84"/>
      <c r="AB29" s="10"/>
      <c r="AC29" s="9"/>
      <c r="AD29" s="83"/>
      <c r="AE29" s="84"/>
      <c r="AF29" s="10">
        <v>10.8</v>
      </c>
      <c r="AG29" s="9">
        <v>12.2</v>
      </c>
      <c r="AH29" s="65">
        <f t="shared" si="40"/>
        <v>1.1111111111111109</v>
      </c>
      <c r="AI29" s="66">
        <f t="shared" si="41"/>
        <v>0.98360655737704927</v>
      </c>
      <c r="AJ29" s="10"/>
      <c r="AK29" s="9"/>
      <c r="AL29" s="65"/>
      <c r="AM29" s="66"/>
      <c r="AN29" s="426"/>
      <c r="AO29" s="427"/>
      <c r="AP29" s="65"/>
      <c r="AQ29" s="66"/>
      <c r="AR29" s="10">
        <v>9.8000000000000007</v>
      </c>
      <c r="AS29" s="9">
        <v>11.4</v>
      </c>
      <c r="AT29" s="65">
        <f t="shared" si="42"/>
        <v>1.2244897959183672</v>
      </c>
      <c r="AU29" s="66">
        <f t="shared" si="43"/>
        <v>1.0526315789473684</v>
      </c>
      <c r="AV29" s="10"/>
      <c r="AW29" s="9"/>
      <c r="AX29" s="65"/>
      <c r="AY29" s="66"/>
      <c r="AZ29" s="426"/>
      <c r="BA29" s="427"/>
      <c r="BB29" s="65"/>
      <c r="BC29" s="66"/>
      <c r="BD29" s="10">
        <v>9.5</v>
      </c>
      <c r="BE29" s="9">
        <v>11</v>
      </c>
      <c r="BF29" s="65">
        <f t="shared" si="44"/>
        <v>1.263157894736842</v>
      </c>
      <c r="BG29" s="66">
        <f t="shared" si="45"/>
        <v>1.0909090909090908</v>
      </c>
      <c r="BH29" s="10"/>
      <c r="BI29" s="9"/>
      <c r="BJ29" s="65"/>
      <c r="BK29" s="66"/>
      <c r="BL29" s="428"/>
      <c r="BM29" s="427"/>
      <c r="BN29" s="65"/>
      <c r="BO29" s="66"/>
      <c r="BP29" s="12"/>
      <c r="BQ29" s="1"/>
      <c r="BR29" s="27">
        <v>10.9</v>
      </c>
      <c r="BS29" s="94">
        <v>13.4</v>
      </c>
      <c r="BT29" s="94">
        <v>6.9</v>
      </c>
      <c r="BU29" s="83">
        <f t="shared" si="46"/>
        <v>1.1009174311926606</v>
      </c>
      <c r="BV29" s="98">
        <f t="shared" si="47"/>
        <v>0.89552238805970152</v>
      </c>
      <c r="BW29" s="84">
        <f t="shared" si="48"/>
        <v>1.7391304347826086</v>
      </c>
      <c r="BX29" s="96">
        <v>10.9</v>
      </c>
      <c r="BY29" s="94">
        <v>13.4</v>
      </c>
      <c r="BZ29" s="94">
        <v>6.7</v>
      </c>
      <c r="CA29" s="83">
        <f t="shared" si="49"/>
        <v>1.1009174311926606</v>
      </c>
      <c r="CB29" s="98">
        <f t="shared" si="50"/>
        <v>0.89552238805970152</v>
      </c>
      <c r="CC29" s="84">
        <f t="shared" si="51"/>
        <v>1.791044776119403</v>
      </c>
      <c r="CD29" s="27">
        <v>10.9</v>
      </c>
      <c r="CE29" s="94">
        <v>13.4</v>
      </c>
      <c r="CF29" s="94">
        <v>6.9</v>
      </c>
      <c r="CG29" s="83">
        <f t="shared" si="52"/>
        <v>1.1009174311926606</v>
      </c>
      <c r="CH29" s="98">
        <f t="shared" si="53"/>
        <v>0.89552238805970152</v>
      </c>
      <c r="CI29" s="84">
        <f t="shared" si="54"/>
        <v>1.7391304347826086</v>
      </c>
      <c r="CJ29" s="96">
        <v>10.9</v>
      </c>
      <c r="CK29" s="94">
        <v>13.4</v>
      </c>
      <c r="CL29" s="94">
        <v>6.7</v>
      </c>
      <c r="CM29" s="83">
        <f t="shared" si="55"/>
        <v>1.1009174311926606</v>
      </c>
      <c r="CN29" s="98">
        <f t="shared" si="56"/>
        <v>0.89552238805970152</v>
      </c>
      <c r="CO29" s="84">
        <f t="shared" si="57"/>
        <v>1.791044776119403</v>
      </c>
      <c r="CP29" s="11">
        <v>11</v>
      </c>
      <c r="CQ29" s="8">
        <v>12</v>
      </c>
      <c r="CR29" s="9">
        <v>3.3</v>
      </c>
      <c r="CS29" s="83">
        <f t="shared" si="58"/>
        <v>1.0909090909090908</v>
      </c>
      <c r="CT29" s="98">
        <f t="shared" si="59"/>
        <v>1</v>
      </c>
      <c r="CU29" s="84">
        <f t="shared" si="60"/>
        <v>1.0657572205051691</v>
      </c>
      <c r="CV29" s="11"/>
      <c r="CW29" s="8"/>
      <c r="CX29" s="9"/>
      <c r="CY29" s="83"/>
      <c r="CZ29" s="98"/>
      <c r="DA29" s="84"/>
      <c r="DB29" s="426"/>
      <c r="DC29" s="429"/>
      <c r="DD29" s="427"/>
      <c r="DE29" s="83"/>
      <c r="DF29" s="98"/>
      <c r="DG29" s="84"/>
      <c r="DH29" s="10">
        <v>10.6</v>
      </c>
      <c r="DI29" s="8">
        <v>11.6</v>
      </c>
      <c r="DJ29" s="13">
        <v>3.2</v>
      </c>
      <c r="DK29" s="83">
        <f t="shared" si="61"/>
        <v>1.1320754716981132</v>
      </c>
      <c r="DL29" s="98">
        <f t="shared" si="62"/>
        <v>1.0344827586206897</v>
      </c>
      <c r="DM29" s="84">
        <f t="shared" si="63"/>
        <v>1.0990621336459554</v>
      </c>
      <c r="DN29" s="10"/>
      <c r="DO29" s="8"/>
      <c r="DP29" s="13"/>
      <c r="DQ29" s="83"/>
      <c r="DR29" s="98"/>
      <c r="DS29" s="84"/>
      <c r="DT29" s="426"/>
      <c r="DU29" s="429"/>
      <c r="DV29" s="427"/>
      <c r="DW29" s="83"/>
      <c r="DX29" s="98"/>
      <c r="DY29" s="84"/>
      <c r="DZ29" s="10">
        <v>9.5</v>
      </c>
      <c r="EA29" s="7">
        <v>10.6</v>
      </c>
      <c r="EB29" s="13">
        <v>3.2</v>
      </c>
      <c r="EC29" s="83">
        <f t="shared" si="64"/>
        <v>1.263157894736842</v>
      </c>
      <c r="ED29" s="98">
        <f t="shared" si="65"/>
        <v>1.1320754716981132</v>
      </c>
      <c r="EE29" s="84">
        <f t="shared" si="66"/>
        <v>1.0990621336459554</v>
      </c>
      <c r="EF29" s="10"/>
      <c r="EG29" s="7"/>
      <c r="EH29" s="13"/>
      <c r="EI29" s="83"/>
      <c r="EJ29" s="98"/>
      <c r="EK29" s="84"/>
      <c r="EL29" s="426"/>
      <c r="EM29" s="429"/>
      <c r="EN29" s="427"/>
      <c r="EO29" s="83"/>
      <c r="EP29" s="98"/>
      <c r="EQ29" s="84"/>
      <c r="ER29" s="10">
        <v>9.5</v>
      </c>
      <c r="ES29" s="7">
        <v>10.6</v>
      </c>
      <c r="ET29" s="13">
        <v>3.2</v>
      </c>
      <c r="EU29" s="83">
        <f t="shared" si="67"/>
        <v>1.263157894736842</v>
      </c>
      <c r="EV29" s="98">
        <f t="shared" si="68"/>
        <v>1.1320754716981132</v>
      </c>
      <c r="EW29" s="84">
        <f t="shared" si="69"/>
        <v>1.0990621336459554</v>
      </c>
      <c r="EX29" s="10"/>
      <c r="EY29" s="7"/>
      <c r="EZ29" s="13"/>
      <c r="FA29" s="83"/>
      <c r="FB29" s="98"/>
      <c r="FC29" s="84"/>
      <c r="FD29" s="426"/>
      <c r="FE29" s="429"/>
      <c r="FF29" s="427"/>
      <c r="FG29" s="83"/>
      <c r="FH29" s="98"/>
      <c r="FI29" s="84"/>
      <c r="FJ29" s="12"/>
    </row>
    <row r="30" spans="1:166" ht="15" customHeight="1" x14ac:dyDescent="0.25">
      <c r="A30" s="82">
        <v>2021</v>
      </c>
      <c r="B30" s="1"/>
      <c r="C30" s="26">
        <v>2021</v>
      </c>
      <c r="D30" s="23">
        <v>10.1</v>
      </c>
      <c r="E30" s="9">
        <v>12.4</v>
      </c>
      <c r="F30" s="83">
        <f t="shared" si="30"/>
        <v>1.1881188118811881</v>
      </c>
      <c r="G30" s="84">
        <f t="shared" si="31"/>
        <v>0.96774193548387089</v>
      </c>
      <c r="H30" s="11">
        <v>10.9</v>
      </c>
      <c r="I30" s="9">
        <v>13.4</v>
      </c>
      <c r="J30" s="83">
        <f t="shared" si="32"/>
        <v>1.1009174311926606</v>
      </c>
      <c r="K30" s="84">
        <f t="shared" si="33"/>
        <v>0.89552238805970152</v>
      </c>
      <c r="L30" s="23">
        <v>10.1</v>
      </c>
      <c r="M30" s="9">
        <v>12.4</v>
      </c>
      <c r="N30" s="83">
        <f t="shared" si="34"/>
        <v>1.1881188118811881</v>
      </c>
      <c r="O30" s="84">
        <f t="shared" si="35"/>
        <v>0.96774193548387089</v>
      </c>
      <c r="P30" s="11">
        <v>10.9</v>
      </c>
      <c r="Q30" s="9">
        <v>13.4</v>
      </c>
      <c r="R30" s="83">
        <f t="shared" si="36"/>
        <v>1.1009174311926606</v>
      </c>
      <c r="S30" s="84">
        <f t="shared" si="37"/>
        <v>0.89552238805970152</v>
      </c>
      <c r="T30" s="664">
        <v>11</v>
      </c>
      <c r="U30" s="665">
        <v>12.6</v>
      </c>
      <c r="V30" s="83">
        <f t="shared" si="38"/>
        <v>1.0909090909090908</v>
      </c>
      <c r="W30" s="84">
        <f t="shared" si="39"/>
        <v>0.95238095238095244</v>
      </c>
      <c r="X30" s="10"/>
      <c r="Y30" s="9"/>
      <c r="Z30" s="83"/>
      <c r="AA30" s="84"/>
      <c r="AB30" s="10"/>
      <c r="AC30" s="9"/>
      <c r="AD30" s="83"/>
      <c r="AE30" s="84"/>
      <c r="AF30" s="10">
        <v>10.8</v>
      </c>
      <c r="AG30" s="9">
        <v>12.2</v>
      </c>
      <c r="AH30" s="65">
        <f t="shared" si="40"/>
        <v>1.1111111111111109</v>
      </c>
      <c r="AI30" s="66">
        <f t="shared" si="41"/>
        <v>0.98360655737704927</v>
      </c>
      <c r="AJ30" s="10"/>
      <c r="AK30" s="9"/>
      <c r="AL30" s="65"/>
      <c r="AM30" s="66"/>
      <c r="AN30" s="426"/>
      <c r="AO30" s="427"/>
      <c r="AP30" s="65"/>
      <c r="AQ30" s="66"/>
      <c r="AR30" s="10">
        <v>9.8000000000000007</v>
      </c>
      <c r="AS30" s="9">
        <v>11.4</v>
      </c>
      <c r="AT30" s="65">
        <f t="shared" si="42"/>
        <v>1.2244897959183672</v>
      </c>
      <c r="AU30" s="66">
        <f t="shared" si="43"/>
        <v>1.0526315789473684</v>
      </c>
      <c r="AV30" s="10"/>
      <c r="AW30" s="9"/>
      <c r="AX30" s="65"/>
      <c r="AY30" s="66"/>
      <c r="AZ30" s="426"/>
      <c r="BA30" s="427"/>
      <c r="BB30" s="65"/>
      <c r="BC30" s="66"/>
      <c r="BD30" s="10">
        <v>9.5</v>
      </c>
      <c r="BE30" s="9">
        <v>11</v>
      </c>
      <c r="BF30" s="65">
        <f t="shared" si="44"/>
        <v>1.263157894736842</v>
      </c>
      <c r="BG30" s="66">
        <f t="shared" si="45"/>
        <v>1.0909090909090908</v>
      </c>
      <c r="BH30" s="10"/>
      <c r="BI30" s="9"/>
      <c r="BJ30" s="65"/>
      <c r="BK30" s="66"/>
      <c r="BL30" s="428"/>
      <c r="BM30" s="427"/>
      <c r="BN30" s="65"/>
      <c r="BO30" s="66"/>
      <c r="BP30" s="12"/>
      <c r="BQ30" s="1"/>
      <c r="BR30" s="27">
        <v>10.9</v>
      </c>
      <c r="BS30" s="94">
        <v>13.4</v>
      </c>
      <c r="BT30" s="94">
        <v>6.9</v>
      </c>
      <c r="BU30" s="83">
        <f t="shared" si="46"/>
        <v>1.1009174311926606</v>
      </c>
      <c r="BV30" s="98">
        <f t="shared" si="47"/>
        <v>0.89552238805970152</v>
      </c>
      <c r="BW30" s="84">
        <f t="shared" si="48"/>
        <v>1.7391304347826086</v>
      </c>
      <c r="BX30" s="96">
        <v>10.9</v>
      </c>
      <c r="BY30" s="94">
        <v>13.4</v>
      </c>
      <c r="BZ30" s="94">
        <v>6.7</v>
      </c>
      <c r="CA30" s="83">
        <f t="shared" si="49"/>
        <v>1.1009174311926606</v>
      </c>
      <c r="CB30" s="98">
        <f t="shared" si="50"/>
        <v>0.89552238805970152</v>
      </c>
      <c r="CC30" s="84">
        <f t="shared" si="51"/>
        <v>1.791044776119403</v>
      </c>
      <c r="CD30" s="27">
        <v>10.9</v>
      </c>
      <c r="CE30" s="94">
        <v>13.4</v>
      </c>
      <c r="CF30" s="94">
        <v>6.9</v>
      </c>
      <c r="CG30" s="83">
        <f t="shared" si="52"/>
        <v>1.1009174311926606</v>
      </c>
      <c r="CH30" s="98">
        <f t="shared" si="53"/>
        <v>0.89552238805970152</v>
      </c>
      <c r="CI30" s="84">
        <f t="shared" si="54"/>
        <v>1.7391304347826086</v>
      </c>
      <c r="CJ30" s="96">
        <v>10.9</v>
      </c>
      <c r="CK30" s="94">
        <v>13.4</v>
      </c>
      <c r="CL30" s="94">
        <v>6.7</v>
      </c>
      <c r="CM30" s="83">
        <f t="shared" si="55"/>
        <v>1.1009174311926606</v>
      </c>
      <c r="CN30" s="98">
        <f t="shared" si="56"/>
        <v>0.89552238805970152</v>
      </c>
      <c r="CO30" s="84">
        <f t="shared" si="57"/>
        <v>1.791044776119403</v>
      </c>
      <c r="CP30" s="11">
        <v>11</v>
      </c>
      <c r="CQ30" s="8">
        <v>12</v>
      </c>
      <c r="CR30" s="9">
        <v>3.3</v>
      </c>
      <c r="CS30" s="83">
        <f t="shared" si="58"/>
        <v>1.0909090909090908</v>
      </c>
      <c r="CT30" s="98">
        <f t="shared" si="59"/>
        <v>1</v>
      </c>
      <c r="CU30" s="84">
        <f t="shared" si="60"/>
        <v>1.0657572205051691</v>
      </c>
      <c r="CV30" s="11"/>
      <c r="CW30" s="8"/>
      <c r="CX30" s="9"/>
      <c r="CY30" s="83"/>
      <c r="CZ30" s="98"/>
      <c r="DA30" s="84"/>
      <c r="DB30" s="426"/>
      <c r="DC30" s="429"/>
      <c r="DD30" s="427"/>
      <c r="DE30" s="83"/>
      <c r="DF30" s="98"/>
      <c r="DG30" s="84"/>
      <c r="DH30" s="10">
        <v>10.6</v>
      </c>
      <c r="DI30" s="8">
        <v>11.6</v>
      </c>
      <c r="DJ30" s="13">
        <v>3.2</v>
      </c>
      <c r="DK30" s="83">
        <f t="shared" si="61"/>
        <v>1.1320754716981132</v>
      </c>
      <c r="DL30" s="98">
        <f t="shared" si="62"/>
        <v>1.0344827586206897</v>
      </c>
      <c r="DM30" s="84">
        <f t="shared" si="63"/>
        <v>1.0990621336459554</v>
      </c>
      <c r="DN30" s="10"/>
      <c r="DO30" s="8"/>
      <c r="DP30" s="13"/>
      <c r="DQ30" s="83"/>
      <c r="DR30" s="98"/>
      <c r="DS30" s="84"/>
      <c r="DT30" s="426"/>
      <c r="DU30" s="429"/>
      <c r="DV30" s="427"/>
      <c r="DW30" s="83"/>
      <c r="DX30" s="98"/>
      <c r="DY30" s="84"/>
      <c r="DZ30" s="10">
        <v>9.5</v>
      </c>
      <c r="EA30" s="7">
        <v>10.6</v>
      </c>
      <c r="EB30" s="13">
        <v>3.2</v>
      </c>
      <c r="EC30" s="83">
        <f t="shared" si="64"/>
        <v>1.263157894736842</v>
      </c>
      <c r="ED30" s="98">
        <f t="shared" si="65"/>
        <v>1.1320754716981132</v>
      </c>
      <c r="EE30" s="84">
        <f t="shared" si="66"/>
        <v>1.0990621336459554</v>
      </c>
      <c r="EF30" s="10"/>
      <c r="EG30" s="7"/>
      <c r="EH30" s="13"/>
      <c r="EI30" s="83"/>
      <c r="EJ30" s="98"/>
      <c r="EK30" s="84"/>
      <c r="EL30" s="426"/>
      <c r="EM30" s="429"/>
      <c r="EN30" s="427"/>
      <c r="EO30" s="83"/>
      <c r="EP30" s="98"/>
      <c r="EQ30" s="84"/>
      <c r="ER30" s="10">
        <v>9.5</v>
      </c>
      <c r="ES30" s="7">
        <v>10.6</v>
      </c>
      <c r="ET30" s="13">
        <v>3.2</v>
      </c>
      <c r="EU30" s="83">
        <f t="shared" si="67"/>
        <v>1.263157894736842</v>
      </c>
      <c r="EV30" s="98">
        <f t="shared" si="68"/>
        <v>1.1320754716981132</v>
      </c>
      <c r="EW30" s="84">
        <f t="shared" si="69"/>
        <v>1.0990621336459554</v>
      </c>
      <c r="EX30" s="10"/>
      <c r="EY30" s="7"/>
      <c r="EZ30" s="13"/>
      <c r="FA30" s="83"/>
      <c r="FB30" s="98"/>
      <c r="FC30" s="84"/>
      <c r="FD30" s="426"/>
      <c r="FE30" s="429"/>
      <c r="FF30" s="427"/>
      <c r="FG30" s="83"/>
      <c r="FH30" s="98"/>
      <c r="FI30" s="84"/>
      <c r="FJ30" s="12"/>
    </row>
    <row r="31" spans="1:166" s="728" customFormat="1" ht="15" customHeight="1" thickBot="1" x14ac:dyDescent="0.3">
      <c r="A31" s="710">
        <v>2022</v>
      </c>
      <c r="B31" s="711"/>
      <c r="C31" s="712">
        <v>2022</v>
      </c>
      <c r="D31" s="713">
        <v>10.1</v>
      </c>
      <c r="E31" s="714">
        <v>12.4</v>
      </c>
      <c r="F31" s="99">
        <f t="shared" si="30"/>
        <v>1.1881188118811881</v>
      </c>
      <c r="G31" s="100">
        <f t="shared" si="31"/>
        <v>0.96774193548387089</v>
      </c>
      <c r="H31" s="715">
        <v>10.9</v>
      </c>
      <c r="I31" s="714">
        <v>13.4</v>
      </c>
      <c r="J31" s="99">
        <f t="shared" si="32"/>
        <v>1.1009174311926606</v>
      </c>
      <c r="K31" s="100">
        <f t="shared" si="33"/>
        <v>0.89552238805970152</v>
      </c>
      <c r="L31" s="713">
        <v>10.1</v>
      </c>
      <c r="M31" s="714">
        <v>12.4</v>
      </c>
      <c r="N31" s="99">
        <f t="shared" si="34"/>
        <v>1.1881188118811881</v>
      </c>
      <c r="O31" s="100">
        <f t="shared" si="35"/>
        <v>0.96774193548387089</v>
      </c>
      <c r="P31" s="715">
        <v>10.9</v>
      </c>
      <c r="Q31" s="714">
        <v>13.4</v>
      </c>
      <c r="R31" s="99">
        <f t="shared" si="36"/>
        <v>1.1009174311926606</v>
      </c>
      <c r="S31" s="100">
        <f t="shared" si="37"/>
        <v>0.89552238805970152</v>
      </c>
      <c r="T31" s="716">
        <v>11</v>
      </c>
      <c r="U31" s="717">
        <v>12.6</v>
      </c>
      <c r="V31" s="99">
        <f t="shared" si="38"/>
        <v>1.0909090909090908</v>
      </c>
      <c r="W31" s="100">
        <f t="shared" si="39"/>
        <v>0.95238095238095244</v>
      </c>
      <c r="X31" s="718"/>
      <c r="Y31" s="714"/>
      <c r="Z31" s="99"/>
      <c r="AA31" s="100"/>
      <c r="AB31" s="718"/>
      <c r="AC31" s="714"/>
      <c r="AD31" s="99"/>
      <c r="AE31" s="100"/>
      <c r="AF31" s="718">
        <v>10.8</v>
      </c>
      <c r="AG31" s="714">
        <v>12.2</v>
      </c>
      <c r="AH31" s="101">
        <f t="shared" si="40"/>
        <v>1.1111111111111109</v>
      </c>
      <c r="AI31" s="102">
        <f t="shared" si="41"/>
        <v>0.98360655737704927</v>
      </c>
      <c r="AJ31" s="718"/>
      <c r="AK31" s="714"/>
      <c r="AL31" s="101"/>
      <c r="AM31" s="102"/>
      <c r="AN31" s="719"/>
      <c r="AO31" s="720"/>
      <c r="AP31" s="101"/>
      <c r="AQ31" s="102"/>
      <c r="AR31" s="718">
        <v>9.8000000000000007</v>
      </c>
      <c r="AS31" s="714">
        <v>11.4</v>
      </c>
      <c r="AT31" s="101">
        <f t="shared" si="42"/>
        <v>1.2244897959183672</v>
      </c>
      <c r="AU31" s="102">
        <f t="shared" si="43"/>
        <v>1.0526315789473684</v>
      </c>
      <c r="AV31" s="718"/>
      <c r="AW31" s="714"/>
      <c r="AX31" s="101"/>
      <c r="AY31" s="102"/>
      <c r="AZ31" s="719"/>
      <c r="BA31" s="720"/>
      <c r="BB31" s="101"/>
      <c r="BC31" s="102"/>
      <c r="BD31" s="718">
        <v>9.5</v>
      </c>
      <c r="BE31" s="714">
        <v>11</v>
      </c>
      <c r="BF31" s="101">
        <f t="shared" si="44"/>
        <v>1.263157894736842</v>
      </c>
      <c r="BG31" s="102">
        <f t="shared" si="45"/>
        <v>1.0909090909090908</v>
      </c>
      <c r="BH31" s="718"/>
      <c r="BI31" s="714"/>
      <c r="BJ31" s="101"/>
      <c r="BK31" s="102"/>
      <c r="BL31" s="721"/>
      <c r="BM31" s="720"/>
      <c r="BN31" s="101"/>
      <c r="BO31" s="102"/>
      <c r="BP31" s="722"/>
      <c r="BQ31" s="711"/>
      <c r="BR31" s="22">
        <v>10.9</v>
      </c>
      <c r="BS31" s="724">
        <v>13.4</v>
      </c>
      <c r="BT31" s="724">
        <v>6.9</v>
      </c>
      <c r="BU31" s="99">
        <f t="shared" si="46"/>
        <v>1.1009174311926606</v>
      </c>
      <c r="BV31" s="725">
        <f t="shared" si="47"/>
        <v>0.89552238805970152</v>
      </c>
      <c r="BW31" s="100">
        <f t="shared" si="48"/>
        <v>1.7391304347826086</v>
      </c>
      <c r="BX31" s="726">
        <v>10.9</v>
      </c>
      <c r="BY31" s="724">
        <v>13.4</v>
      </c>
      <c r="BZ31" s="724">
        <v>6.7</v>
      </c>
      <c r="CA31" s="99">
        <f t="shared" si="49"/>
        <v>1.1009174311926606</v>
      </c>
      <c r="CB31" s="725">
        <f t="shared" si="50"/>
        <v>0.89552238805970152</v>
      </c>
      <c r="CC31" s="100">
        <f t="shared" si="51"/>
        <v>1.791044776119403</v>
      </c>
      <c r="CD31" s="22">
        <v>10.9</v>
      </c>
      <c r="CE31" s="724">
        <v>13.4</v>
      </c>
      <c r="CF31" s="724">
        <v>6.9</v>
      </c>
      <c r="CG31" s="99">
        <f t="shared" si="52"/>
        <v>1.1009174311926606</v>
      </c>
      <c r="CH31" s="725">
        <f t="shared" si="53"/>
        <v>0.89552238805970152</v>
      </c>
      <c r="CI31" s="100">
        <f t="shared" si="54"/>
        <v>1.7391304347826086</v>
      </c>
      <c r="CJ31" s="726">
        <v>10.9</v>
      </c>
      <c r="CK31" s="724">
        <v>13.4</v>
      </c>
      <c r="CL31" s="724">
        <v>6.7</v>
      </c>
      <c r="CM31" s="99">
        <f t="shared" si="55"/>
        <v>1.1009174311926606</v>
      </c>
      <c r="CN31" s="725">
        <f t="shared" si="56"/>
        <v>0.89552238805970152</v>
      </c>
      <c r="CO31" s="100">
        <f t="shared" si="57"/>
        <v>1.791044776119403</v>
      </c>
      <c r="CP31" s="715">
        <v>11</v>
      </c>
      <c r="CQ31" s="731">
        <v>12</v>
      </c>
      <c r="CR31" s="714">
        <v>3.3</v>
      </c>
      <c r="CS31" s="99">
        <f t="shared" si="58"/>
        <v>1.0909090909090908</v>
      </c>
      <c r="CT31" s="725">
        <f t="shared" si="59"/>
        <v>1</v>
      </c>
      <c r="CU31" s="100">
        <f t="shared" si="60"/>
        <v>1.0657572205051691</v>
      </c>
      <c r="CV31" s="715"/>
      <c r="CW31" s="731"/>
      <c r="CX31" s="714"/>
      <c r="CY31" s="99"/>
      <c r="CZ31" s="725"/>
      <c r="DA31" s="100"/>
      <c r="DB31" s="719"/>
      <c r="DC31" s="727"/>
      <c r="DD31" s="720"/>
      <c r="DE31" s="99"/>
      <c r="DF31" s="725"/>
      <c r="DG31" s="100"/>
      <c r="DH31" s="718">
        <v>10.6</v>
      </c>
      <c r="DI31" s="731">
        <v>11.6</v>
      </c>
      <c r="DJ31" s="732">
        <v>3.2</v>
      </c>
      <c r="DK31" s="99">
        <f t="shared" si="61"/>
        <v>1.1320754716981132</v>
      </c>
      <c r="DL31" s="725">
        <f t="shared" si="62"/>
        <v>1.0344827586206897</v>
      </c>
      <c r="DM31" s="100">
        <f t="shared" si="63"/>
        <v>1.0990621336459554</v>
      </c>
      <c r="DN31" s="718"/>
      <c r="DO31" s="731"/>
      <c r="DP31" s="732"/>
      <c r="DQ31" s="99"/>
      <c r="DR31" s="725"/>
      <c r="DS31" s="100"/>
      <c r="DT31" s="719"/>
      <c r="DU31" s="727"/>
      <c r="DV31" s="720"/>
      <c r="DW31" s="99"/>
      <c r="DX31" s="725"/>
      <c r="DY31" s="100"/>
      <c r="DZ31" s="718">
        <v>9.5</v>
      </c>
      <c r="EA31" s="723">
        <v>10.6</v>
      </c>
      <c r="EB31" s="732">
        <v>3.2</v>
      </c>
      <c r="EC31" s="99">
        <f t="shared" si="64"/>
        <v>1.263157894736842</v>
      </c>
      <c r="ED31" s="725">
        <f t="shared" si="65"/>
        <v>1.1320754716981132</v>
      </c>
      <c r="EE31" s="100">
        <f t="shared" si="66"/>
        <v>1.0990621336459554</v>
      </c>
      <c r="EF31" s="718"/>
      <c r="EG31" s="723"/>
      <c r="EH31" s="732"/>
      <c r="EI31" s="99"/>
      <c r="EJ31" s="725"/>
      <c r="EK31" s="100"/>
      <c r="EL31" s="719"/>
      <c r="EM31" s="727"/>
      <c r="EN31" s="720"/>
      <c r="EO31" s="99"/>
      <c r="EP31" s="725"/>
      <c r="EQ31" s="100"/>
      <c r="ER31" s="718">
        <v>9.5</v>
      </c>
      <c r="ES31" s="723">
        <v>10.6</v>
      </c>
      <c r="ET31" s="732">
        <v>3.2</v>
      </c>
      <c r="EU31" s="99">
        <f t="shared" si="67"/>
        <v>1.263157894736842</v>
      </c>
      <c r="EV31" s="725">
        <f t="shared" si="68"/>
        <v>1.1320754716981132</v>
      </c>
      <c r="EW31" s="100">
        <f t="shared" si="69"/>
        <v>1.0990621336459554</v>
      </c>
      <c r="EX31" s="718"/>
      <c r="EY31" s="723"/>
      <c r="EZ31" s="732"/>
      <c r="FA31" s="99"/>
      <c r="FB31" s="725"/>
      <c r="FC31" s="100"/>
      <c r="FD31" s="719"/>
      <c r="FE31" s="727"/>
      <c r="FF31" s="720"/>
      <c r="FG31" s="99"/>
      <c r="FH31" s="725"/>
      <c r="FI31" s="100"/>
      <c r="FJ31" s="722"/>
    </row>
    <row r="32" spans="1:166" ht="15" customHeight="1" x14ac:dyDescent="0.25">
      <c r="A32" s="688">
        <v>2023</v>
      </c>
      <c r="B32" s="1"/>
      <c r="C32" s="689">
        <v>2023</v>
      </c>
      <c r="D32" s="690">
        <v>11.7</v>
      </c>
      <c r="E32" s="691">
        <v>14.3</v>
      </c>
      <c r="F32" s="692">
        <f t="shared" si="30"/>
        <v>1.0256410256410258</v>
      </c>
      <c r="G32" s="693">
        <f t="shared" si="31"/>
        <v>0.83916083916083917</v>
      </c>
      <c r="H32" s="694">
        <v>10.9</v>
      </c>
      <c r="I32" s="691">
        <v>13.4</v>
      </c>
      <c r="J32" s="692">
        <f t="shared" si="32"/>
        <v>1.1009174311926606</v>
      </c>
      <c r="K32" s="693">
        <f t="shared" si="33"/>
        <v>0.89552238805970152</v>
      </c>
      <c r="L32" s="690">
        <v>11.2</v>
      </c>
      <c r="M32" s="691">
        <v>13.8</v>
      </c>
      <c r="N32" s="692">
        <f t="shared" si="34"/>
        <v>1.0714285714285714</v>
      </c>
      <c r="O32" s="693">
        <f t="shared" si="35"/>
        <v>0.86956521739130432</v>
      </c>
      <c r="P32" s="694">
        <v>10.9</v>
      </c>
      <c r="Q32" s="691">
        <v>13.4</v>
      </c>
      <c r="R32" s="692">
        <f t="shared" si="36"/>
        <v>1.1009174311926606</v>
      </c>
      <c r="S32" s="693">
        <f t="shared" si="37"/>
        <v>0.89552238805970152</v>
      </c>
      <c r="T32" s="695">
        <v>11</v>
      </c>
      <c r="U32" s="696">
        <v>14.6</v>
      </c>
      <c r="V32" s="692">
        <f t="shared" si="38"/>
        <v>1.0909090909090908</v>
      </c>
      <c r="W32" s="693">
        <f t="shared" si="39"/>
        <v>0.82191780821917815</v>
      </c>
      <c r="X32" s="697"/>
      <c r="Y32" s="691"/>
      <c r="Z32" s="692"/>
      <c r="AA32" s="693"/>
      <c r="AB32" s="697"/>
      <c r="AC32" s="691"/>
      <c r="AD32" s="692"/>
      <c r="AE32" s="693"/>
      <c r="AF32" s="697">
        <v>10.8</v>
      </c>
      <c r="AG32" s="691">
        <v>14</v>
      </c>
      <c r="AH32" s="698">
        <f t="shared" si="40"/>
        <v>1.1111111111111109</v>
      </c>
      <c r="AI32" s="699">
        <f t="shared" si="41"/>
        <v>0.8571428571428571</v>
      </c>
      <c r="AJ32" s="697"/>
      <c r="AK32" s="691"/>
      <c r="AL32" s="698"/>
      <c r="AM32" s="699"/>
      <c r="AN32" s="700"/>
      <c r="AO32" s="701"/>
      <c r="AP32" s="698"/>
      <c r="AQ32" s="699"/>
      <c r="AR32" s="697">
        <v>9.8000000000000007</v>
      </c>
      <c r="AS32" s="691">
        <v>13</v>
      </c>
      <c r="AT32" s="698">
        <f t="shared" si="42"/>
        <v>1.2244897959183672</v>
      </c>
      <c r="AU32" s="699">
        <f t="shared" si="43"/>
        <v>0.92307692307692313</v>
      </c>
      <c r="AV32" s="697"/>
      <c r="AW32" s="691"/>
      <c r="AX32" s="698"/>
      <c r="AY32" s="699"/>
      <c r="AZ32" s="700"/>
      <c r="BA32" s="701"/>
      <c r="BB32" s="698"/>
      <c r="BC32" s="699"/>
      <c r="BD32" s="697">
        <v>9.5</v>
      </c>
      <c r="BE32" s="691">
        <v>11</v>
      </c>
      <c r="BF32" s="698">
        <f t="shared" si="44"/>
        <v>1.263157894736842</v>
      </c>
      <c r="BG32" s="699">
        <f t="shared" si="45"/>
        <v>1.0909090909090908</v>
      </c>
      <c r="BH32" s="697"/>
      <c r="BI32" s="691"/>
      <c r="BJ32" s="698"/>
      <c r="BK32" s="699"/>
      <c r="BL32" s="702"/>
      <c r="BM32" s="701"/>
      <c r="BN32" s="698"/>
      <c r="BO32" s="699"/>
      <c r="BP32" s="703"/>
      <c r="BQ32" s="1"/>
      <c r="BR32" s="704">
        <v>11.7</v>
      </c>
      <c r="BS32" s="706">
        <v>14.3</v>
      </c>
      <c r="BT32" s="706">
        <v>7.5</v>
      </c>
      <c r="BU32" s="692">
        <f t="shared" si="46"/>
        <v>1.0256410256410258</v>
      </c>
      <c r="BV32" s="707">
        <f t="shared" si="47"/>
        <v>0.83916083916083917</v>
      </c>
      <c r="BW32" s="693">
        <f t="shared" si="48"/>
        <v>1.6</v>
      </c>
      <c r="BX32" s="708">
        <v>10.9</v>
      </c>
      <c r="BY32" s="706">
        <v>13.4</v>
      </c>
      <c r="BZ32" s="706">
        <v>6.7</v>
      </c>
      <c r="CA32" s="692">
        <f t="shared" si="49"/>
        <v>1.1009174311926606</v>
      </c>
      <c r="CB32" s="707">
        <f t="shared" si="50"/>
        <v>0.89552238805970152</v>
      </c>
      <c r="CC32" s="693">
        <f t="shared" si="51"/>
        <v>1.791044776119403</v>
      </c>
      <c r="CD32" s="704">
        <v>11.7</v>
      </c>
      <c r="CE32" s="706">
        <v>14.3</v>
      </c>
      <c r="CF32" s="706">
        <v>7.5</v>
      </c>
      <c r="CG32" s="692">
        <f t="shared" si="52"/>
        <v>1.0256410256410258</v>
      </c>
      <c r="CH32" s="707">
        <f t="shared" si="53"/>
        <v>0.83916083916083917</v>
      </c>
      <c r="CI32" s="693">
        <f t="shared" si="54"/>
        <v>1.6</v>
      </c>
      <c r="CJ32" s="708">
        <v>10.9</v>
      </c>
      <c r="CK32" s="706">
        <v>13.4</v>
      </c>
      <c r="CL32" s="706">
        <v>6.7</v>
      </c>
      <c r="CM32" s="692">
        <f t="shared" si="55"/>
        <v>1.1009174311926606</v>
      </c>
      <c r="CN32" s="707">
        <f t="shared" si="56"/>
        <v>0.89552238805970152</v>
      </c>
      <c r="CO32" s="693">
        <f t="shared" si="57"/>
        <v>1.791044776119403</v>
      </c>
      <c r="CP32" s="694">
        <v>11</v>
      </c>
      <c r="CQ32" s="729">
        <v>14.1</v>
      </c>
      <c r="CR32" s="691">
        <v>3.4</v>
      </c>
      <c r="CS32" s="692">
        <f t="shared" si="58"/>
        <v>1.0909090909090908</v>
      </c>
      <c r="CT32" s="707">
        <f t="shared" si="59"/>
        <v>0.85106382978723405</v>
      </c>
      <c r="CU32" s="693">
        <f t="shared" si="60"/>
        <v>1.0344114199020757</v>
      </c>
      <c r="CV32" s="694"/>
      <c r="CW32" s="729"/>
      <c r="CX32" s="691"/>
      <c r="CY32" s="692"/>
      <c r="CZ32" s="707"/>
      <c r="DA32" s="693"/>
      <c r="DB32" s="700"/>
      <c r="DC32" s="709"/>
      <c r="DD32" s="701"/>
      <c r="DE32" s="692"/>
      <c r="DF32" s="707"/>
      <c r="DG32" s="693"/>
      <c r="DH32" s="697">
        <v>10.6</v>
      </c>
      <c r="DI32" s="729">
        <v>13.5</v>
      </c>
      <c r="DJ32" s="730">
        <v>3.3</v>
      </c>
      <c r="DK32" s="692">
        <f t="shared" si="61"/>
        <v>1.1320754716981132</v>
      </c>
      <c r="DL32" s="707">
        <f t="shared" si="62"/>
        <v>0.88888888888888884</v>
      </c>
      <c r="DM32" s="693">
        <f t="shared" si="63"/>
        <v>1.0657572205051691</v>
      </c>
      <c r="DN32" s="697"/>
      <c r="DO32" s="729"/>
      <c r="DP32" s="730"/>
      <c r="DQ32" s="692"/>
      <c r="DR32" s="707"/>
      <c r="DS32" s="693"/>
      <c r="DT32" s="700"/>
      <c r="DU32" s="709"/>
      <c r="DV32" s="701"/>
      <c r="DW32" s="692"/>
      <c r="DX32" s="707"/>
      <c r="DY32" s="693"/>
      <c r="DZ32" s="697">
        <v>9.5</v>
      </c>
      <c r="EA32" s="705">
        <v>12.5</v>
      </c>
      <c r="EB32" s="730">
        <v>3.2</v>
      </c>
      <c r="EC32" s="692">
        <f t="shared" si="64"/>
        <v>1.263157894736842</v>
      </c>
      <c r="ED32" s="707">
        <f t="shared" si="65"/>
        <v>0.96</v>
      </c>
      <c r="EE32" s="693">
        <f t="shared" si="66"/>
        <v>1.0990621336459554</v>
      </c>
      <c r="EF32" s="697"/>
      <c r="EG32" s="705"/>
      <c r="EH32" s="730"/>
      <c r="EI32" s="692"/>
      <c r="EJ32" s="707"/>
      <c r="EK32" s="693"/>
      <c r="EL32" s="700"/>
      <c r="EM32" s="709"/>
      <c r="EN32" s="701"/>
      <c r="EO32" s="692"/>
      <c r="EP32" s="707"/>
      <c r="EQ32" s="693"/>
      <c r="ER32" s="697">
        <v>9.5</v>
      </c>
      <c r="ES32" s="705">
        <v>10.6</v>
      </c>
      <c r="ET32" s="730">
        <v>3.2</v>
      </c>
      <c r="EU32" s="692">
        <f t="shared" si="67"/>
        <v>1.263157894736842</v>
      </c>
      <c r="EV32" s="707">
        <f t="shared" si="68"/>
        <v>1.1320754716981132</v>
      </c>
      <c r="EW32" s="693">
        <f t="shared" si="69"/>
        <v>1.0990621336459554</v>
      </c>
      <c r="EX32" s="697"/>
      <c r="EY32" s="705"/>
      <c r="EZ32" s="730"/>
      <c r="FA32" s="692"/>
      <c r="FB32" s="707"/>
      <c r="FC32" s="693"/>
      <c r="FD32" s="700"/>
      <c r="FE32" s="709"/>
      <c r="FF32" s="701"/>
      <c r="FG32" s="692"/>
      <c r="FH32" s="707"/>
      <c r="FI32" s="693"/>
      <c r="FJ32" s="703"/>
    </row>
    <row r="33" spans="1:166" ht="15" customHeight="1" x14ac:dyDescent="0.25">
      <c r="A33" s="82">
        <v>2024</v>
      </c>
      <c r="B33" s="1"/>
      <c r="C33" s="26">
        <v>2024</v>
      </c>
      <c r="D33" s="23">
        <v>11.7</v>
      </c>
      <c r="E33" s="9">
        <v>14.3</v>
      </c>
      <c r="F33" s="83">
        <f t="shared" ref="F33" si="70">12/D33</f>
        <v>1.0256410256410258</v>
      </c>
      <c r="G33" s="84">
        <f t="shared" ref="G33" si="71">12/E33</f>
        <v>0.83916083916083917</v>
      </c>
      <c r="H33" s="11">
        <v>10.9</v>
      </c>
      <c r="I33" s="9">
        <v>13.4</v>
      </c>
      <c r="J33" s="83">
        <f t="shared" ref="J33" si="72">12/H33</f>
        <v>1.1009174311926606</v>
      </c>
      <c r="K33" s="84">
        <f t="shared" ref="K33" si="73">12/I33</f>
        <v>0.89552238805970152</v>
      </c>
      <c r="L33" s="23">
        <v>11.2</v>
      </c>
      <c r="M33" s="9">
        <v>13.8</v>
      </c>
      <c r="N33" s="83">
        <f t="shared" si="34"/>
        <v>1.0714285714285714</v>
      </c>
      <c r="O33" s="84">
        <f t="shared" si="35"/>
        <v>0.86956521739130432</v>
      </c>
      <c r="P33" s="11">
        <v>10.9</v>
      </c>
      <c r="Q33" s="9">
        <v>13.4</v>
      </c>
      <c r="R33" s="83">
        <f t="shared" si="36"/>
        <v>1.1009174311926606</v>
      </c>
      <c r="S33" s="84">
        <f t="shared" si="37"/>
        <v>0.89552238805970152</v>
      </c>
      <c r="T33" s="664">
        <v>11</v>
      </c>
      <c r="U33" s="665">
        <v>14.6</v>
      </c>
      <c r="V33" s="83">
        <f t="shared" ref="V33:V36" si="74">12/T33</f>
        <v>1.0909090909090908</v>
      </c>
      <c r="W33" s="84">
        <f t="shared" ref="W33:W36" si="75">12/U33</f>
        <v>0.82191780821917815</v>
      </c>
      <c r="X33" s="10"/>
      <c r="Y33" s="9"/>
      <c r="Z33" s="83"/>
      <c r="AA33" s="84"/>
      <c r="AB33" s="10"/>
      <c r="AC33" s="9"/>
      <c r="AD33" s="83"/>
      <c r="AE33" s="84"/>
      <c r="AF33" s="10">
        <v>10.8</v>
      </c>
      <c r="AG33" s="9">
        <v>14</v>
      </c>
      <c r="AH33" s="65">
        <f t="shared" ref="AH33:AH36" si="76">12/AF33</f>
        <v>1.1111111111111109</v>
      </c>
      <c r="AI33" s="66">
        <f t="shared" ref="AI33:AI36" si="77">12/AG33</f>
        <v>0.8571428571428571</v>
      </c>
      <c r="AJ33" s="10"/>
      <c r="AK33" s="9"/>
      <c r="AL33" s="65"/>
      <c r="AM33" s="66"/>
      <c r="AN33" s="426"/>
      <c r="AO33" s="427"/>
      <c r="AP33" s="65"/>
      <c r="AQ33" s="66"/>
      <c r="AR33" s="10">
        <v>9.8000000000000007</v>
      </c>
      <c r="AS33" s="9">
        <v>13</v>
      </c>
      <c r="AT33" s="65">
        <f t="shared" ref="AT33:AT36" si="78">12/AR33</f>
        <v>1.2244897959183672</v>
      </c>
      <c r="AU33" s="66">
        <f t="shared" ref="AU33:AU36" si="79">12/AS33</f>
        <v>0.92307692307692313</v>
      </c>
      <c r="AV33" s="10"/>
      <c r="AW33" s="9"/>
      <c r="AX33" s="65"/>
      <c r="AY33" s="66"/>
      <c r="AZ33" s="426"/>
      <c r="BA33" s="427"/>
      <c r="BB33" s="65"/>
      <c r="BC33" s="66"/>
      <c r="BD33" s="10">
        <v>9.5</v>
      </c>
      <c r="BE33" s="9">
        <v>11</v>
      </c>
      <c r="BF33" s="65">
        <f t="shared" ref="BF33:BF36" si="80">12/BD33</f>
        <v>1.263157894736842</v>
      </c>
      <c r="BG33" s="66">
        <f t="shared" ref="BG33:BG36" si="81">12/BE33</f>
        <v>1.0909090909090908</v>
      </c>
      <c r="BH33" s="10"/>
      <c r="BI33" s="9"/>
      <c r="BJ33" s="65"/>
      <c r="BK33" s="66"/>
      <c r="BL33" s="428"/>
      <c r="BM33" s="427"/>
      <c r="BN33" s="65"/>
      <c r="BO33" s="66"/>
      <c r="BP33" s="12"/>
      <c r="BQ33" s="1"/>
      <c r="BR33" s="27">
        <v>11.7</v>
      </c>
      <c r="BS33" s="94">
        <v>14.3</v>
      </c>
      <c r="BT33" s="94">
        <v>7.5</v>
      </c>
      <c r="BU33" s="83">
        <f t="shared" ref="BU33" si="82">12/BR33</f>
        <v>1.0256410256410258</v>
      </c>
      <c r="BV33" s="98">
        <f t="shared" ref="BV33" si="83">12/BS33</f>
        <v>0.83916083916083917</v>
      </c>
      <c r="BW33" s="84">
        <f t="shared" ref="BW33" si="84">12/BT33</f>
        <v>1.6</v>
      </c>
      <c r="BX33" s="96">
        <v>10.9</v>
      </c>
      <c r="BY33" s="94">
        <v>13.4</v>
      </c>
      <c r="BZ33" s="94">
        <v>6.7</v>
      </c>
      <c r="CA33" s="83">
        <f t="shared" ref="CA33" si="85">12/BX33</f>
        <v>1.1009174311926606</v>
      </c>
      <c r="CB33" s="98">
        <f t="shared" ref="CB33" si="86">12/BY33</f>
        <v>0.89552238805970152</v>
      </c>
      <c r="CC33" s="84">
        <f t="shared" ref="CC33" si="87">12/BZ33</f>
        <v>1.791044776119403</v>
      </c>
      <c r="CD33" s="96">
        <v>11.7</v>
      </c>
      <c r="CE33" s="94">
        <v>14.3</v>
      </c>
      <c r="CF33" s="94">
        <v>7.5</v>
      </c>
      <c r="CG33" s="83">
        <f t="shared" si="52"/>
        <v>1.0256410256410258</v>
      </c>
      <c r="CH33" s="98">
        <f t="shared" si="53"/>
        <v>0.83916083916083917</v>
      </c>
      <c r="CI33" s="84">
        <f t="shared" si="54"/>
        <v>1.6</v>
      </c>
      <c r="CJ33" s="96">
        <v>10.9</v>
      </c>
      <c r="CK33" s="94">
        <v>13.4</v>
      </c>
      <c r="CL33" s="94">
        <v>6.7</v>
      </c>
      <c r="CM33" s="83">
        <f t="shared" si="55"/>
        <v>1.1009174311926606</v>
      </c>
      <c r="CN33" s="98">
        <f t="shared" si="56"/>
        <v>0.89552238805970152</v>
      </c>
      <c r="CO33" s="84">
        <f t="shared" si="57"/>
        <v>1.791044776119403</v>
      </c>
      <c r="CP33" s="11">
        <v>11</v>
      </c>
      <c r="CQ33" s="8">
        <v>14.1</v>
      </c>
      <c r="CR33" s="9">
        <v>3.4</v>
      </c>
      <c r="CS33" s="83">
        <f t="shared" ref="CS33" si="88">12/CP33</f>
        <v>1.0909090909090908</v>
      </c>
      <c r="CT33" s="98">
        <f t="shared" ref="CT33" si="89">12/CQ33</f>
        <v>0.85106382978723405</v>
      </c>
      <c r="CU33" s="84">
        <f t="shared" ref="CU33" si="90">12/3.412/CR33</f>
        <v>1.0344114199020757</v>
      </c>
      <c r="CV33" s="11"/>
      <c r="CW33" s="8"/>
      <c r="CX33" s="9"/>
      <c r="CY33" s="83"/>
      <c r="CZ33" s="98"/>
      <c r="DA33" s="84"/>
      <c r="DB33" s="426"/>
      <c r="DC33" s="429"/>
      <c r="DD33" s="427"/>
      <c r="DE33" s="83"/>
      <c r="DF33" s="98"/>
      <c r="DG33" s="84"/>
      <c r="DH33" s="10">
        <v>10.6</v>
      </c>
      <c r="DI33" s="8">
        <v>13.5</v>
      </c>
      <c r="DJ33" s="13">
        <v>3.3</v>
      </c>
      <c r="DK33" s="83">
        <f t="shared" ref="DK33:DK36" si="91">12/DH33</f>
        <v>1.1320754716981132</v>
      </c>
      <c r="DL33" s="98">
        <f t="shared" ref="DL33:DL36" si="92">12/DI33</f>
        <v>0.88888888888888884</v>
      </c>
      <c r="DM33" s="84">
        <f t="shared" ref="DM33:DM36" si="93">12/3.412/DJ33</f>
        <v>1.0657572205051691</v>
      </c>
      <c r="DN33" s="10"/>
      <c r="DO33" s="8"/>
      <c r="DP33" s="13"/>
      <c r="DQ33" s="83"/>
      <c r="DR33" s="98"/>
      <c r="DS33" s="84"/>
      <c r="DT33" s="426"/>
      <c r="DU33" s="429"/>
      <c r="DV33" s="427"/>
      <c r="DW33" s="83"/>
      <c r="DX33" s="98"/>
      <c r="DY33" s="84"/>
      <c r="DZ33" s="10">
        <v>9.5</v>
      </c>
      <c r="EA33" s="7">
        <v>12.5</v>
      </c>
      <c r="EB33" s="13">
        <v>3.2</v>
      </c>
      <c r="EC33" s="83">
        <f t="shared" ref="EC33:EC36" si="94">12/DZ33</f>
        <v>1.263157894736842</v>
      </c>
      <c r="ED33" s="98">
        <f t="shared" ref="ED33:ED36" si="95">12/EA33</f>
        <v>0.96</v>
      </c>
      <c r="EE33" s="84">
        <f t="shared" ref="EE33:EE36" si="96">12/3.412/EB33</f>
        <v>1.0990621336459554</v>
      </c>
      <c r="EF33" s="10"/>
      <c r="EG33" s="7"/>
      <c r="EH33" s="13"/>
      <c r="EI33" s="83"/>
      <c r="EJ33" s="98"/>
      <c r="EK33" s="84"/>
      <c r="EL33" s="426"/>
      <c r="EM33" s="429"/>
      <c r="EN33" s="427"/>
      <c r="EO33" s="83"/>
      <c r="EP33" s="98"/>
      <c r="EQ33" s="84"/>
      <c r="ER33" s="10">
        <v>9.5</v>
      </c>
      <c r="ES33" s="7">
        <v>10.6</v>
      </c>
      <c r="ET33" s="13">
        <v>3.2</v>
      </c>
      <c r="EU33" s="83">
        <f t="shared" ref="EU33:EU36" si="97">12/ER33</f>
        <v>1.263157894736842</v>
      </c>
      <c r="EV33" s="98">
        <f t="shared" ref="EV33:EV36" si="98">12/ES33</f>
        <v>1.1320754716981132</v>
      </c>
      <c r="EW33" s="84">
        <f t="shared" ref="EW33:EW36" si="99">12/3.412/ET33</f>
        <v>1.0990621336459554</v>
      </c>
      <c r="EX33" s="10"/>
      <c r="EY33" s="7"/>
      <c r="EZ33" s="13"/>
      <c r="FA33" s="83"/>
      <c r="FB33" s="98"/>
      <c r="FC33" s="84"/>
      <c r="FD33" s="426"/>
      <c r="FE33" s="429"/>
      <c r="FF33" s="427"/>
      <c r="FG33" s="83"/>
      <c r="FH33" s="98"/>
      <c r="FI33" s="84"/>
      <c r="FJ33" s="12"/>
    </row>
    <row r="34" spans="1:166" s="728" customFormat="1" ht="15" customHeight="1" thickBot="1" x14ac:dyDescent="0.3">
      <c r="A34" s="710">
        <v>2025</v>
      </c>
      <c r="B34" s="711"/>
      <c r="C34" s="712">
        <v>2025</v>
      </c>
      <c r="D34" s="713">
        <v>11.7</v>
      </c>
      <c r="E34" s="714">
        <v>14.3</v>
      </c>
      <c r="F34" s="99">
        <f t="shared" ref="F34" si="100">12/D34</f>
        <v>1.0256410256410258</v>
      </c>
      <c r="G34" s="100">
        <f t="shared" ref="G34" si="101">12/E34</f>
        <v>0.83916083916083917</v>
      </c>
      <c r="H34" s="715">
        <v>10.9</v>
      </c>
      <c r="I34" s="714">
        <v>13.4</v>
      </c>
      <c r="J34" s="99">
        <f t="shared" ref="J34" si="102">12/H34</f>
        <v>1.1009174311926606</v>
      </c>
      <c r="K34" s="100">
        <f t="shared" ref="K34" si="103">12/I34</f>
        <v>0.89552238805970152</v>
      </c>
      <c r="L34" s="713">
        <v>11.2</v>
      </c>
      <c r="M34" s="714">
        <v>13.8</v>
      </c>
      <c r="N34" s="99">
        <f t="shared" ref="N34" si="104">12/L34</f>
        <v>1.0714285714285714</v>
      </c>
      <c r="O34" s="100">
        <f t="shared" ref="O34" si="105">12/M34</f>
        <v>0.86956521739130432</v>
      </c>
      <c r="P34" s="715">
        <v>10.9</v>
      </c>
      <c r="Q34" s="714">
        <v>13.4</v>
      </c>
      <c r="R34" s="99">
        <f t="shared" ref="R34" si="106">12/P34</f>
        <v>1.1009174311926606</v>
      </c>
      <c r="S34" s="100">
        <f t="shared" ref="S34" si="107">12/Q34</f>
        <v>0.89552238805970152</v>
      </c>
      <c r="T34" s="716">
        <v>11</v>
      </c>
      <c r="U34" s="717">
        <v>14.6</v>
      </c>
      <c r="V34" s="99">
        <f t="shared" ref="V34" si="108">12/T34</f>
        <v>1.0909090909090908</v>
      </c>
      <c r="W34" s="100">
        <f t="shared" ref="W34" si="109">12/U34</f>
        <v>0.82191780821917815</v>
      </c>
      <c r="X34" s="718"/>
      <c r="Y34" s="714"/>
      <c r="Z34" s="99"/>
      <c r="AA34" s="100"/>
      <c r="AB34" s="718"/>
      <c r="AC34" s="714"/>
      <c r="AD34" s="99"/>
      <c r="AE34" s="100"/>
      <c r="AF34" s="718">
        <v>10.8</v>
      </c>
      <c r="AG34" s="714">
        <v>14</v>
      </c>
      <c r="AH34" s="101">
        <f t="shared" ref="AH34" si="110">12/AF34</f>
        <v>1.1111111111111109</v>
      </c>
      <c r="AI34" s="102">
        <f t="shared" ref="AI34" si="111">12/AG34</f>
        <v>0.8571428571428571</v>
      </c>
      <c r="AJ34" s="718"/>
      <c r="AK34" s="714"/>
      <c r="AL34" s="101"/>
      <c r="AM34" s="102"/>
      <c r="AN34" s="719"/>
      <c r="AO34" s="720"/>
      <c r="AP34" s="101"/>
      <c r="AQ34" s="102"/>
      <c r="AR34" s="718">
        <v>9.8000000000000007</v>
      </c>
      <c r="AS34" s="714">
        <v>13</v>
      </c>
      <c r="AT34" s="101">
        <f t="shared" ref="AT34" si="112">12/AR34</f>
        <v>1.2244897959183672</v>
      </c>
      <c r="AU34" s="102">
        <f t="shared" ref="AU34" si="113">12/AS34</f>
        <v>0.92307692307692313</v>
      </c>
      <c r="AV34" s="718"/>
      <c r="AW34" s="714"/>
      <c r="AX34" s="101"/>
      <c r="AY34" s="102"/>
      <c r="AZ34" s="719"/>
      <c r="BA34" s="720"/>
      <c r="BB34" s="101"/>
      <c r="BC34" s="102"/>
      <c r="BD34" s="718">
        <v>9.5</v>
      </c>
      <c r="BE34" s="714">
        <v>11</v>
      </c>
      <c r="BF34" s="101">
        <f t="shared" ref="BF34" si="114">12/BD34</f>
        <v>1.263157894736842</v>
      </c>
      <c r="BG34" s="102">
        <f t="shared" ref="BG34" si="115">12/BE34</f>
        <v>1.0909090909090908</v>
      </c>
      <c r="BH34" s="718"/>
      <c r="BI34" s="714"/>
      <c r="BJ34" s="101"/>
      <c r="BK34" s="102"/>
      <c r="BL34" s="721"/>
      <c r="BM34" s="720"/>
      <c r="BN34" s="101"/>
      <c r="BO34" s="102"/>
      <c r="BP34" s="722"/>
      <c r="BQ34" s="711"/>
      <c r="BR34" s="22">
        <v>11.7</v>
      </c>
      <c r="BS34" s="724">
        <v>14.3</v>
      </c>
      <c r="BT34" s="724">
        <v>7.5</v>
      </c>
      <c r="BU34" s="99">
        <f t="shared" ref="BU34" si="116">12/BR34</f>
        <v>1.0256410256410258</v>
      </c>
      <c r="BV34" s="725">
        <f t="shared" ref="BV34" si="117">12/BS34</f>
        <v>0.83916083916083917</v>
      </c>
      <c r="BW34" s="100">
        <f t="shared" ref="BW34" si="118">12/BT34</f>
        <v>1.6</v>
      </c>
      <c r="BX34" s="726">
        <v>10.9</v>
      </c>
      <c r="BY34" s="724">
        <v>13.4</v>
      </c>
      <c r="BZ34" s="724">
        <v>6.7</v>
      </c>
      <c r="CA34" s="99">
        <f t="shared" ref="CA34" si="119">12/BX34</f>
        <v>1.1009174311926606</v>
      </c>
      <c r="CB34" s="725">
        <f t="shared" ref="CB34" si="120">12/BY34</f>
        <v>0.89552238805970152</v>
      </c>
      <c r="CC34" s="100">
        <f t="shared" ref="CC34" si="121">12/BZ34</f>
        <v>1.791044776119403</v>
      </c>
      <c r="CD34" s="726">
        <v>11.7</v>
      </c>
      <c r="CE34" s="724">
        <v>14.3</v>
      </c>
      <c r="CF34" s="724">
        <v>7.5</v>
      </c>
      <c r="CG34" s="99">
        <f t="shared" ref="CG34" si="122">12/CD34</f>
        <v>1.0256410256410258</v>
      </c>
      <c r="CH34" s="725">
        <f t="shared" ref="CH34" si="123">12/CE34</f>
        <v>0.83916083916083917</v>
      </c>
      <c r="CI34" s="100">
        <f t="shared" ref="CI34" si="124">12/CF34</f>
        <v>1.6</v>
      </c>
      <c r="CJ34" s="726">
        <v>10.9</v>
      </c>
      <c r="CK34" s="724">
        <v>13.4</v>
      </c>
      <c r="CL34" s="724">
        <v>6.7</v>
      </c>
      <c r="CM34" s="99">
        <f t="shared" ref="CM34" si="125">12/CJ34</f>
        <v>1.1009174311926606</v>
      </c>
      <c r="CN34" s="725">
        <f t="shared" ref="CN34" si="126">12/CK34</f>
        <v>0.89552238805970152</v>
      </c>
      <c r="CO34" s="100">
        <f t="shared" ref="CO34" si="127">12/CL34</f>
        <v>1.791044776119403</v>
      </c>
      <c r="CP34" s="715">
        <v>11</v>
      </c>
      <c r="CQ34" s="731">
        <v>14.1</v>
      </c>
      <c r="CR34" s="714">
        <v>3.4</v>
      </c>
      <c r="CS34" s="99">
        <f t="shared" ref="CS34" si="128">12/CP34</f>
        <v>1.0909090909090908</v>
      </c>
      <c r="CT34" s="725">
        <f t="shared" ref="CT34" si="129">12/CQ34</f>
        <v>0.85106382978723405</v>
      </c>
      <c r="CU34" s="100">
        <f t="shared" ref="CU34" si="130">12/3.412/CR34</f>
        <v>1.0344114199020757</v>
      </c>
      <c r="CV34" s="715"/>
      <c r="CW34" s="731"/>
      <c r="CX34" s="714"/>
      <c r="CY34" s="99"/>
      <c r="CZ34" s="725"/>
      <c r="DA34" s="100"/>
      <c r="DB34" s="719"/>
      <c r="DC34" s="727"/>
      <c r="DD34" s="720"/>
      <c r="DE34" s="99"/>
      <c r="DF34" s="725"/>
      <c r="DG34" s="100"/>
      <c r="DH34" s="718">
        <v>10.6</v>
      </c>
      <c r="DI34" s="731">
        <v>13.5</v>
      </c>
      <c r="DJ34" s="732">
        <v>3.3</v>
      </c>
      <c r="DK34" s="99">
        <f t="shared" ref="DK34" si="131">12/DH34</f>
        <v>1.1320754716981132</v>
      </c>
      <c r="DL34" s="725">
        <f t="shared" ref="DL34" si="132">12/DI34</f>
        <v>0.88888888888888884</v>
      </c>
      <c r="DM34" s="100">
        <f t="shared" ref="DM34" si="133">12/3.412/DJ34</f>
        <v>1.0657572205051691</v>
      </c>
      <c r="DN34" s="718"/>
      <c r="DO34" s="731"/>
      <c r="DP34" s="732"/>
      <c r="DQ34" s="99"/>
      <c r="DR34" s="725"/>
      <c r="DS34" s="100"/>
      <c r="DT34" s="719"/>
      <c r="DU34" s="727"/>
      <c r="DV34" s="720"/>
      <c r="DW34" s="99"/>
      <c r="DX34" s="725"/>
      <c r="DY34" s="100"/>
      <c r="DZ34" s="718">
        <v>9.5</v>
      </c>
      <c r="EA34" s="723">
        <v>12.5</v>
      </c>
      <c r="EB34" s="732">
        <v>3.2</v>
      </c>
      <c r="EC34" s="99">
        <f t="shared" ref="EC34" si="134">12/DZ34</f>
        <v>1.263157894736842</v>
      </c>
      <c r="ED34" s="725">
        <f t="shared" ref="ED34" si="135">12/EA34</f>
        <v>0.96</v>
      </c>
      <c r="EE34" s="100">
        <f t="shared" ref="EE34" si="136">12/3.412/EB34</f>
        <v>1.0990621336459554</v>
      </c>
      <c r="EF34" s="718"/>
      <c r="EG34" s="723"/>
      <c r="EH34" s="732"/>
      <c r="EI34" s="99"/>
      <c r="EJ34" s="725"/>
      <c r="EK34" s="100"/>
      <c r="EL34" s="719"/>
      <c r="EM34" s="727"/>
      <c r="EN34" s="720"/>
      <c r="EO34" s="99"/>
      <c r="EP34" s="725"/>
      <c r="EQ34" s="100"/>
      <c r="ER34" s="718">
        <v>9.5</v>
      </c>
      <c r="ES34" s="723">
        <v>10.6</v>
      </c>
      <c r="ET34" s="732">
        <v>3.2</v>
      </c>
      <c r="EU34" s="99">
        <f t="shared" ref="EU34" si="137">12/ER34</f>
        <v>1.263157894736842</v>
      </c>
      <c r="EV34" s="725">
        <f t="shared" ref="EV34" si="138">12/ES34</f>
        <v>1.1320754716981132</v>
      </c>
      <c r="EW34" s="100">
        <f t="shared" ref="EW34" si="139">12/3.412/ET34</f>
        <v>1.0990621336459554</v>
      </c>
      <c r="EX34" s="718"/>
      <c r="EY34" s="723"/>
      <c r="EZ34" s="732"/>
      <c r="FA34" s="99"/>
      <c r="FB34" s="725"/>
      <c r="FC34" s="100"/>
      <c r="FD34" s="719"/>
      <c r="FE34" s="727"/>
      <c r="FF34" s="720"/>
      <c r="FG34" s="99"/>
      <c r="FH34" s="725"/>
      <c r="FI34" s="100"/>
      <c r="FJ34" s="722"/>
    </row>
    <row r="35" spans="1:166" s="687" customFormat="1" ht="15" hidden="1" customHeight="1" x14ac:dyDescent="0.25">
      <c r="A35" s="733" t="s">
        <v>1488</v>
      </c>
      <c r="B35" s="686"/>
      <c r="C35" s="734" t="str">
        <v>ARTRM9.2</v>
      </c>
      <c r="D35" s="735">
        <v>11.7</v>
      </c>
      <c r="E35" s="736">
        <v>14.3</v>
      </c>
      <c r="F35" s="737">
        <f t="shared" ref="F35:G35" si="140">12/D35</f>
        <v>1.0256410256410258</v>
      </c>
      <c r="G35" s="738">
        <f t="shared" si="140"/>
        <v>0.83916083916083917</v>
      </c>
      <c r="H35" s="739">
        <v>10.6</v>
      </c>
      <c r="I35" s="736">
        <v>13.4</v>
      </c>
      <c r="J35" s="737">
        <f t="shared" ref="J35" si="141">12/H35</f>
        <v>1.1320754716981132</v>
      </c>
      <c r="K35" s="738">
        <f t="shared" ref="K35" si="142">12/I35</f>
        <v>0.89552238805970152</v>
      </c>
      <c r="L35" s="735">
        <v>11.2</v>
      </c>
      <c r="M35" s="736">
        <v>13.8</v>
      </c>
      <c r="N35" s="737">
        <f t="shared" si="34"/>
        <v>1.0714285714285714</v>
      </c>
      <c r="O35" s="738">
        <f t="shared" si="35"/>
        <v>0.86956521739130432</v>
      </c>
      <c r="P35" s="739">
        <v>10.6</v>
      </c>
      <c r="Q35" s="736">
        <v>13.4</v>
      </c>
      <c r="R35" s="737">
        <f t="shared" si="36"/>
        <v>1.1320754716981132</v>
      </c>
      <c r="S35" s="738">
        <f t="shared" si="37"/>
        <v>0.89552238805970152</v>
      </c>
      <c r="T35" s="740">
        <v>11.2</v>
      </c>
      <c r="U35" s="741">
        <v>12.8</v>
      </c>
      <c r="V35" s="737">
        <f t="shared" si="74"/>
        <v>1.0714285714285714</v>
      </c>
      <c r="W35" s="738">
        <f t="shared" si="75"/>
        <v>0.9375</v>
      </c>
      <c r="X35" s="742">
        <v>11.2</v>
      </c>
      <c r="Y35" s="736">
        <v>14.8</v>
      </c>
      <c r="Z35" s="737">
        <f t="shared" ref="Z35:Z36" si="143">12/X35</f>
        <v>1.0714285714285714</v>
      </c>
      <c r="AA35" s="738">
        <f t="shared" ref="AA35:AA36" si="144">12/Y35</f>
        <v>0.81081081081081074</v>
      </c>
      <c r="AB35" s="742">
        <v>11</v>
      </c>
      <c r="AC35" s="736">
        <v>14.6</v>
      </c>
      <c r="AD35" s="737">
        <f t="shared" ref="AD35:AD36" si="145">12/AB35</f>
        <v>1.0909090909090908</v>
      </c>
      <c r="AE35" s="738">
        <f t="shared" ref="AE35:AE36" si="146">12/AC35</f>
        <v>0.82191780821917815</v>
      </c>
      <c r="AF35" s="742">
        <v>11</v>
      </c>
      <c r="AG35" s="736">
        <v>14.2</v>
      </c>
      <c r="AH35" s="743">
        <f t="shared" si="76"/>
        <v>1.0909090909090908</v>
      </c>
      <c r="AI35" s="744">
        <f t="shared" si="77"/>
        <v>0.84507042253521136</v>
      </c>
      <c r="AJ35" s="742">
        <v>11</v>
      </c>
      <c r="AK35" s="736">
        <v>14.2</v>
      </c>
      <c r="AL35" s="743">
        <f t="shared" ref="AL35:AL36" si="147">12/AJ35</f>
        <v>1.0909090909090908</v>
      </c>
      <c r="AM35" s="744">
        <f t="shared" ref="AM35:AM36" si="148">12/AK35</f>
        <v>0.84507042253521136</v>
      </c>
      <c r="AN35" s="742">
        <v>10.8</v>
      </c>
      <c r="AO35" s="736">
        <v>14</v>
      </c>
      <c r="AP35" s="743">
        <f t="shared" ref="AP35:AP36" si="149">12/AN35</f>
        <v>1.1111111111111109</v>
      </c>
      <c r="AQ35" s="744">
        <f t="shared" ref="AQ35:AQ36" si="150">12/AO35</f>
        <v>0.8571428571428571</v>
      </c>
      <c r="AR35" s="742">
        <v>10</v>
      </c>
      <c r="AS35" s="736">
        <v>13.2</v>
      </c>
      <c r="AT35" s="743">
        <f t="shared" si="78"/>
        <v>1.2</v>
      </c>
      <c r="AU35" s="744">
        <f t="shared" si="79"/>
        <v>0.90909090909090917</v>
      </c>
      <c r="AV35" s="742">
        <v>10</v>
      </c>
      <c r="AW35" s="736">
        <v>13.2</v>
      </c>
      <c r="AX35" s="743">
        <f t="shared" ref="AX35:AX36" si="151">12/AV35</f>
        <v>1.2</v>
      </c>
      <c r="AY35" s="744">
        <f t="shared" ref="AY35:AY36" si="152">12/AW35</f>
        <v>0.90909090909090917</v>
      </c>
      <c r="AZ35" s="742">
        <v>9.8000000000000007</v>
      </c>
      <c r="BA35" s="736">
        <v>13</v>
      </c>
      <c r="BB35" s="743">
        <f t="shared" ref="BB35:BB36" si="153">12/AZ35</f>
        <v>1.2244897959183672</v>
      </c>
      <c r="BC35" s="744">
        <f t="shared" ref="BC35:BC36" si="154">12/BA35</f>
        <v>0.92307692307692313</v>
      </c>
      <c r="BD35" s="739">
        <v>9.6999999999999993</v>
      </c>
      <c r="BE35" s="736">
        <v>11.2</v>
      </c>
      <c r="BF35" s="743">
        <f t="shared" si="80"/>
        <v>1.2371134020618557</v>
      </c>
      <c r="BG35" s="744">
        <f t="shared" si="81"/>
        <v>1.0714285714285714</v>
      </c>
      <c r="BH35" s="739">
        <v>9.6999999999999993</v>
      </c>
      <c r="BI35" s="736">
        <v>11.2</v>
      </c>
      <c r="BJ35" s="743">
        <f t="shared" ref="BJ35:BJ36" si="155">12/BH35</f>
        <v>1.2371134020618557</v>
      </c>
      <c r="BK35" s="744">
        <f t="shared" ref="BK35:BK36" si="156">12/BI35</f>
        <v>1.0714285714285714</v>
      </c>
      <c r="BL35" s="739">
        <v>9.5</v>
      </c>
      <c r="BM35" s="736">
        <v>11</v>
      </c>
      <c r="BN35" s="743">
        <f t="shared" ref="BN35:BN36" si="157">12/BL35</f>
        <v>1.263157894736842</v>
      </c>
      <c r="BO35" s="744">
        <f t="shared" ref="BO35:BO36" si="158">12/BM35</f>
        <v>1.0909090909090908</v>
      </c>
      <c r="BP35" s="745" t="s">
        <v>1449</v>
      </c>
      <c r="BQ35" s="686"/>
      <c r="BR35" s="746">
        <v>11.7</v>
      </c>
      <c r="BS35" s="747">
        <v>14.3</v>
      </c>
      <c r="BT35" s="748">
        <v>7.5</v>
      </c>
      <c r="BU35" s="737">
        <f t="shared" ref="BU35:BU36" si="159">12/BR35</f>
        <v>1.0256410256410258</v>
      </c>
      <c r="BV35" s="749">
        <f t="shared" ref="BV35:BV36" si="160">12/BS35</f>
        <v>0.83916083916083917</v>
      </c>
      <c r="BW35" s="738">
        <f t="shared" ref="BW35:BW36" si="161">12/BT35</f>
        <v>1.6</v>
      </c>
      <c r="BX35" s="746">
        <v>10.6</v>
      </c>
      <c r="BY35" s="747">
        <v>13.4</v>
      </c>
      <c r="BZ35" s="736">
        <v>6.7</v>
      </c>
      <c r="CA35" s="737">
        <f t="shared" ref="CA35:CA36" si="162">12/BX35</f>
        <v>1.1320754716981132</v>
      </c>
      <c r="CB35" s="749">
        <f t="shared" ref="CB35:CB36" si="163">12/BY35</f>
        <v>0.89552238805970152</v>
      </c>
      <c r="CC35" s="738">
        <f t="shared" ref="CC35:CC36" si="164">12/BZ35</f>
        <v>1.791044776119403</v>
      </c>
      <c r="CD35" s="746">
        <v>11.7</v>
      </c>
      <c r="CE35" s="747">
        <v>14.3</v>
      </c>
      <c r="CF35" s="748">
        <v>7.5</v>
      </c>
      <c r="CG35" s="737">
        <f t="shared" si="52"/>
        <v>1.0256410256410258</v>
      </c>
      <c r="CH35" s="749">
        <f t="shared" si="53"/>
        <v>0.83916083916083917</v>
      </c>
      <c r="CI35" s="738">
        <f t="shared" si="54"/>
        <v>1.6</v>
      </c>
      <c r="CJ35" s="746">
        <v>10.6</v>
      </c>
      <c r="CK35" s="747">
        <v>13.4</v>
      </c>
      <c r="CL35" s="736">
        <v>6.7</v>
      </c>
      <c r="CM35" s="737">
        <f t="shared" si="55"/>
        <v>1.1320754716981132</v>
      </c>
      <c r="CN35" s="749">
        <f t="shared" si="56"/>
        <v>0.89552238805970152</v>
      </c>
      <c r="CO35" s="738">
        <f t="shared" si="57"/>
        <v>1.791044776119403</v>
      </c>
      <c r="CP35" s="742">
        <v>11</v>
      </c>
      <c r="CQ35" s="747">
        <v>14.1</v>
      </c>
      <c r="CR35" s="736">
        <v>3.4</v>
      </c>
      <c r="CS35" s="737">
        <f t="shared" ref="CS35:CS36" si="165">12/CP35</f>
        <v>1.0909090909090908</v>
      </c>
      <c r="CT35" s="749">
        <f t="shared" ref="CT35:CT36" si="166">12/CQ35</f>
        <v>0.85106382978723405</v>
      </c>
      <c r="CU35" s="738">
        <f t="shared" ref="CU35:CU36" si="167">12/3.412/CR35</f>
        <v>1.0344114199020757</v>
      </c>
      <c r="CV35" s="742">
        <v>11</v>
      </c>
      <c r="CW35" s="747">
        <v>14.1</v>
      </c>
      <c r="CX35" s="736">
        <v>3.4</v>
      </c>
      <c r="CY35" s="737">
        <f t="shared" ref="CY35:CY36" si="168">12/CV35</f>
        <v>1.0909090909090908</v>
      </c>
      <c r="CZ35" s="749">
        <f t="shared" ref="CZ35:CZ36" si="169">12/CW35</f>
        <v>0.85106382978723405</v>
      </c>
      <c r="DA35" s="738">
        <f t="shared" ref="DA35:DA36" si="170">12/3.412/CX35</f>
        <v>1.0344114199020757</v>
      </c>
      <c r="DB35" s="742">
        <v>10.8</v>
      </c>
      <c r="DC35" s="747">
        <v>13.9</v>
      </c>
      <c r="DD35" s="736">
        <v>3.4</v>
      </c>
      <c r="DE35" s="737">
        <f t="shared" ref="DE35:DE36" si="171">12/DB35</f>
        <v>1.1111111111111109</v>
      </c>
      <c r="DF35" s="749">
        <f t="shared" ref="DF35:DF36" si="172">12/DC35</f>
        <v>0.86330935251798557</v>
      </c>
      <c r="DG35" s="738">
        <f t="shared" ref="DG35:DG36" si="173">12/3.412/DD35</f>
        <v>1.0344114199020757</v>
      </c>
      <c r="DH35" s="742">
        <v>10.6</v>
      </c>
      <c r="DI35" s="747">
        <v>13.5</v>
      </c>
      <c r="DJ35" s="736">
        <v>3.3</v>
      </c>
      <c r="DK35" s="737">
        <f t="shared" si="91"/>
        <v>1.1320754716981132</v>
      </c>
      <c r="DL35" s="749">
        <f t="shared" si="92"/>
        <v>0.88888888888888884</v>
      </c>
      <c r="DM35" s="738">
        <f t="shared" si="93"/>
        <v>1.0657572205051691</v>
      </c>
      <c r="DN35" s="742">
        <v>10.6</v>
      </c>
      <c r="DO35" s="747">
        <v>13.5</v>
      </c>
      <c r="DP35" s="736">
        <v>3.3</v>
      </c>
      <c r="DQ35" s="737">
        <f t="shared" ref="DQ35:DQ36" si="174">12/DN35</f>
        <v>1.1320754716981132</v>
      </c>
      <c r="DR35" s="749">
        <f t="shared" ref="DR35:DR36" si="175">12/DO35</f>
        <v>0.88888888888888884</v>
      </c>
      <c r="DS35" s="738">
        <f t="shared" ref="DS35:DS36" si="176">12/3.412/DP35</f>
        <v>1.0657572205051691</v>
      </c>
      <c r="DT35" s="742">
        <v>10.4</v>
      </c>
      <c r="DU35" s="747">
        <v>13.3</v>
      </c>
      <c r="DV35" s="736">
        <v>3.3</v>
      </c>
      <c r="DW35" s="737">
        <f t="shared" ref="DW35:DW36" si="177">12/DT35</f>
        <v>1.1538461538461537</v>
      </c>
      <c r="DX35" s="749">
        <f t="shared" ref="DX35:DX36" si="178">12/DU35</f>
        <v>0.90225563909774431</v>
      </c>
      <c r="DY35" s="738">
        <f t="shared" ref="DY35:DY36" si="179">12/3.412/DV35</f>
        <v>1.0657572205051691</v>
      </c>
      <c r="DZ35" s="742">
        <v>9.5</v>
      </c>
      <c r="EA35" s="747">
        <v>12.5</v>
      </c>
      <c r="EB35" s="736">
        <v>3.2</v>
      </c>
      <c r="EC35" s="737">
        <f t="shared" si="94"/>
        <v>1.263157894736842</v>
      </c>
      <c r="ED35" s="749">
        <f t="shared" si="95"/>
        <v>0.96</v>
      </c>
      <c r="EE35" s="738">
        <f t="shared" si="96"/>
        <v>1.0990621336459554</v>
      </c>
      <c r="EF35" s="742">
        <v>9.5</v>
      </c>
      <c r="EG35" s="747">
        <v>12.5</v>
      </c>
      <c r="EH35" s="736">
        <v>3.2</v>
      </c>
      <c r="EI35" s="737">
        <f t="shared" ref="EI35:EI36" si="180">12/EF35</f>
        <v>1.263157894736842</v>
      </c>
      <c r="EJ35" s="749">
        <f t="shared" ref="EJ35:EJ36" si="181">12/EG35</f>
        <v>0.96</v>
      </c>
      <c r="EK35" s="738">
        <f t="shared" ref="EK35:EK36" si="182">12/3.412/EH35</f>
        <v>1.0990621336459554</v>
      </c>
      <c r="EL35" s="742">
        <v>9.3000000000000007</v>
      </c>
      <c r="EM35" s="747">
        <v>12.3</v>
      </c>
      <c r="EN35" s="736">
        <v>3.2</v>
      </c>
      <c r="EO35" s="737">
        <f t="shared" ref="EO35:EO36" si="183">12/EL35</f>
        <v>1.2903225806451613</v>
      </c>
      <c r="EP35" s="749">
        <f t="shared" ref="EP35:EP36" si="184">12/EM35</f>
        <v>0.97560975609756095</v>
      </c>
      <c r="EQ35" s="738">
        <f t="shared" ref="EQ35:EQ36" si="185">12/3.412/EN35</f>
        <v>1.0990621336459554</v>
      </c>
      <c r="ER35" s="742">
        <v>9.5</v>
      </c>
      <c r="ES35" s="747">
        <v>12.5</v>
      </c>
      <c r="ET35" s="736">
        <v>3.2</v>
      </c>
      <c r="EU35" s="737">
        <f t="shared" si="97"/>
        <v>1.263157894736842</v>
      </c>
      <c r="EV35" s="749">
        <f t="shared" si="98"/>
        <v>0.96</v>
      </c>
      <c r="EW35" s="738">
        <f t="shared" si="99"/>
        <v>1.0990621336459554</v>
      </c>
      <c r="EX35" s="742">
        <v>9.5</v>
      </c>
      <c r="EY35" s="747">
        <v>12.5</v>
      </c>
      <c r="EZ35" s="736">
        <v>3.2</v>
      </c>
      <c r="FA35" s="737">
        <f t="shared" ref="FA35:FA36" si="186">12/EX35</f>
        <v>1.263157894736842</v>
      </c>
      <c r="FB35" s="749">
        <f t="shared" ref="FB35:FB36" si="187">12/EY35</f>
        <v>0.96</v>
      </c>
      <c r="FC35" s="738">
        <f t="shared" ref="FC35:FC36" si="188">12/3.412/EZ35</f>
        <v>1.0990621336459554</v>
      </c>
      <c r="FD35" s="742">
        <v>9.3000000000000007</v>
      </c>
      <c r="FE35" s="747">
        <v>12.3</v>
      </c>
      <c r="FF35" s="736">
        <v>3.2</v>
      </c>
      <c r="FG35" s="737">
        <f t="shared" ref="FG35:FG36" si="189">12/FD35</f>
        <v>1.2903225806451613</v>
      </c>
      <c r="FH35" s="749">
        <f t="shared" ref="FH35:FH36" si="190">12/FE35</f>
        <v>0.97560975609756095</v>
      </c>
      <c r="FI35" s="738">
        <f t="shared" ref="FI35:FI36" si="191">12/3.412/FF35</f>
        <v>1.0990621336459554</v>
      </c>
      <c r="FJ35" s="745" t="s">
        <v>1449</v>
      </c>
    </row>
    <row r="36" spans="1:166" ht="15" customHeight="1" x14ac:dyDescent="0.25">
      <c r="A36" s="82" t="s">
        <v>469</v>
      </c>
      <c r="B36" s="1"/>
      <c r="C36" s="26" t="str">
        <v>CPS</v>
      </c>
      <c r="D36" s="23">
        <v>11.7</v>
      </c>
      <c r="E36" s="9">
        <v>14.3</v>
      </c>
      <c r="F36" s="83">
        <f t="shared" ref="F36" si="192">12/D36</f>
        <v>1.0256410256410258</v>
      </c>
      <c r="G36" s="84">
        <f t="shared" ref="G36" si="193">12/E36</f>
        <v>0.83916083916083917</v>
      </c>
      <c r="H36" s="11">
        <v>10.6</v>
      </c>
      <c r="I36" s="9">
        <v>13.4</v>
      </c>
      <c r="J36" s="83">
        <f t="shared" ref="J36" si="194">12/H36</f>
        <v>1.1320754716981132</v>
      </c>
      <c r="K36" s="84">
        <f t="shared" ref="K36" si="195">12/I36</f>
        <v>0.89552238805970152</v>
      </c>
      <c r="L36" s="23">
        <v>11.2</v>
      </c>
      <c r="M36" s="9">
        <v>13.8</v>
      </c>
      <c r="N36" s="83">
        <f t="shared" si="34"/>
        <v>1.0714285714285714</v>
      </c>
      <c r="O36" s="84">
        <f t="shared" si="35"/>
        <v>0.86956521739130432</v>
      </c>
      <c r="P36" s="11">
        <v>10.6</v>
      </c>
      <c r="Q36" s="9">
        <v>13.4</v>
      </c>
      <c r="R36" s="83">
        <f t="shared" si="36"/>
        <v>1.1320754716981132</v>
      </c>
      <c r="S36" s="84">
        <f t="shared" si="37"/>
        <v>0.89552238805970152</v>
      </c>
      <c r="T36" s="664">
        <v>9.8000000000000007</v>
      </c>
      <c r="U36" s="665">
        <v>13</v>
      </c>
      <c r="V36" s="83">
        <f t="shared" si="74"/>
        <v>1.2244897959183672</v>
      </c>
      <c r="W36" s="84">
        <f t="shared" si="75"/>
        <v>0.92307692307692313</v>
      </c>
      <c r="X36" s="10">
        <v>11</v>
      </c>
      <c r="Y36" s="9">
        <v>14.6</v>
      </c>
      <c r="Z36" s="83">
        <f t="shared" si="143"/>
        <v>1.0909090909090908</v>
      </c>
      <c r="AA36" s="84">
        <f t="shared" si="144"/>
        <v>0.82191780821917815</v>
      </c>
      <c r="AB36" s="10">
        <v>11</v>
      </c>
      <c r="AC36" s="9">
        <v>14.6</v>
      </c>
      <c r="AD36" s="83">
        <f t="shared" si="145"/>
        <v>1.0909090909090908</v>
      </c>
      <c r="AE36" s="84">
        <f t="shared" si="146"/>
        <v>0.82191780821917815</v>
      </c>
      <c r="AF36" s="10">
        <v>10.8</v>
      </c>
      <c r="AG36" s="9">
        <v>14</v>
      </c>
      <c r="AH36" s="65">
        <f t="shared" si="76"/>
        <v>1.1111111111111109</v>
      </c>
      <c r="AI36" s="66">
        <f t="shared" si="77"/>
        <v>0.8571428571428571</v>
      </c>
      <c r="AJ36" s="10">
        <v>10.8</v>
      </c>
      <c r="AK36" s="9">
        <v>14</v>
      </c>
      <c r="AL36" s="65">
        <f t="shared" si="147"/>
        <v>1.1111111111111109</v>
      </c>
      <c r="AM36" s="66">
        <f t="shared" si="148"/>
        <v>0.8571428571428571</v>
      </c>
      <c r="AN36" s="10">
        <v>10.8</v>
      </c>
      <c r="AO36" s="9">
        <v>14</v>
      </c>
      <c r="AP36" s="65">
        <f t="shared" si="149"/>
        <v>1.1111111111111109</v>
      </c>
      <c r="AQ36" s="66">
        <f t="shared" si="150"/>
        <v>0.8571428571428571</v>
      </c>
      <c r="AR36" s="10">
        <v>9.8000000000000007</v>
      </c>
      <c r="AS36" s="9">
        <v>13</v>
      </c>
      <c r="AT36" s="65">
        <f t="shared" si="78"/>
        <v>1.2244897959183672</v>
      </c>
      <c r="AU36" s="66">
        <f t="shared" si="79"/>
        <v>0.92307692307692313</v>
      </c>
      <c r="AV36" s="10">
        <v>9.8000000000000007</v>
      </c>
      <c r="AW36" s="9">
        <v>13</v>
      </c>
      <c r="AX36" s="65">
        <f t="shared" si="151"/>
        <v>1.2244897959183672</v>
      </c>
      <c r="AY36" s="66">
        <f t="shared" si="152"/>
        <v>0.92307692307692313</v>
      </c>
      <c r="AZ36" s="10">
        <v>9.8000000000000007</v>
      </c>
      <c r="BA36" s="9">
        <v>13</v>
      </c>
      <c r="BB36" s="65">
        <f t="shared" si="153"/>
        <v>1.2244897959183672</v>
      </c>
      <c r="BC36" s="66">
        <f t="shared" si="154"/>
        <v>0.92307692307692313</v>
      </c>
      <c r="BD36" s="11">
        <v>9.5</v>
      </c>
      <c r="BE36" s="9">
        <v>12.3</v>
      </c>
      <c r="BF36" s="65">
        <f t="shared" si="80"/>
        <v>1.263157894736842</v>
      </c>
      <c r="BG36" s="66">
        <f t="shared" si="81"/>
        <v>0.97560975609756095</v>
      </c>
      <c r="BH36" s="11">
        <v>9.5</v>
      </c>
      <c r="BI36" s="9">
        <v>12.3</v>
      </c>
      <c r="BJ36" s="65">
        <f t="shared" si="155"/>
        <v>1.263157894736842</v>
      </c>
      <c r="BK36" s="66">
        <f t="shared" si="156"/>
        <v>0.97560975609756095</v>
      </c>
      <c r="BL36" s="11">
        <v>9.5</v>
      </c>
      <c r="BM36" s="9">
        <v>12.3</v>
      </c>
      <c r="BN36" s="65">
        <f t="shared" si="157"/>
        <v>1.263157894736842</v>
      </c>
      <c r="BO36" s="66">
        <f t="shared" si="158"/>
        <v>0.97560975609756095</v>
      </c>
      <c r="BP36" s="12" t="s">
        <v>1449</v>
      </c>
      <c r="BQ36" s="1"/>
      <c r="BR36" s="27">
        <v>11.7</v>
      </c>
      <c r="BS36" s="7">
        <v>14.3</v>
      </c>
      <c r="BT36" s="94">
        <v>7.5</v>
      </c>
      <c r="BU36" s="83">
        <f t="shared" si="159"/>
        <v>1.0256410256410258</v>
      </c>
      <c r="BV36" s="98">
        <f t="shared" si="160"/>
        <v>0.83916083916083917</v>
      </c>
      <c r="BW36" s="84">
        <f t="shared" si="161"/>
        <v>1.6</v>
      </c>
      <c r="BX36" s="27">
        <v>10.9</v>
      </c>
      <c r="BY36" s="7">
        <v>13.4</v>
      </c>
      <c r="BZ36" s="9">
        <v>6.7</v>
      </c>
      <c r="CA36" s="83">
        <f t="shared" si="162"/>
        <v>1.1009174311926606</v>
      </c>
      <c r="CB36" s="98">
        <f t="shared" si="163"/>
        <v>0.89552238805970152</v>
      </c>
      <c r="CC36" s="84">
        <f t="shared" si="164"/>
        <v>1.791044776119403</v>
      </c>
      <c r="CD36" s="27">
        <v>11.7</v>
      </c>
      <c r="CE36" s="7">
        <v>14.3</v>
      </c>
      <c r="CF36" s="94">
        <v>7.5</v>
      </c>
      <c r="CG36" s="83">
        <f t="shared" si="52"/>
        <v>1.0256410256410258</v>
      </c>
      <c r="CH36" s="98">
        <f t="shared" si="53"/>
        <v>0.83916083916083917</v>
      </c>
      <c r="CI36" s="84">
        <f t="shared" si="54"/>
        <v>1.6</v>
      </c>
      <c r="CJ36" s="27">
        <v>10.9</v>
      </c>
      <c r="CK36" s="7">
        <v>13.4</v>
      </c>
      <c r="CL36" s="9">
        <v>6.7</v>
      </c>
      <c r="CM36" s="83">
        <f t="shared" si="55"/>
        <v>1.1009174311926606</v>
      </c>
      <c r="CN36" s="98">
        <f t="shared" si="56"/>
        <v>0.89552238805970152</v>
      </c>
      <c r="CO36" s="84">
        <f t="shared" si="57"/>
        <v>1.791044776119403</v>
      </c>
      <c r="CP36" s="10">
        <v>11</v>
      </c>
      <c r="CQ36" s="7">
        <v>14.1</v>
      </c>
      <c r="CR36" s="9">
        <v>3.4</v>
      </c>
      <c r="CS36" s="83">
        <f t="shared" si="165"/>
        <v>1.0909090909090908</v>
      </c>
      <c r="CT36" s="98">
        <f t="shared" si="166"/>
        <v>0.85106382978723405</v>
      </c>
      <c r="CU36" s="84">
        <f t="shared" si="167"/>
        <v>1.0344114199020757</v>
      </c>
      <c r="CV36" s="10">
        <v>11</v>
      </c>
      <c r="CW36" s="7">
        <v>14.1</v>
      </c>
      <c r="CX36" s="9">
        <v>3.4</v>
      </c>
      <c r="CY36" s="83">
        <f t="shared" si="168"/>
        <v>1.0909090909090908</v>
      </c>
      <c r="CZ36" s="98">
        <f t="shared" si="169"/>
        <v>0.85106382978723405</v>
      </c>
      <c r="DA36" s="84">
        <f t="shared" si="170"/>
        <v>1.0344114199020757</v>
      </c>
      <c r="DB36" s="10">
        <v>11</v>
      </c>
      <c r="DC36" s="7">
        <v>14.1</v>
      </c>
      <c r="DD36" s="9">
        <v>3.4</v>
      </c>
      <c r="DE36" s="83">
        <f t="shared" si="171"/>
        <v>1.0909090909090908</v>
      </c>
      <c r="DF36" s="98">
        <f t="shared" si="172"/>
        <v>0.85106382978723405</v>
      </c>
      <c r="DG36" s="84">
        <f t="shared" si="173"/>
        <v>1.0344114199020757</v>
      </c>
      <c r="DH36" s="10">
        <v>10.6</v>
      </c>
      <c r="DI36" s="7">
        <v>13.5</v>
      </c>
      <c r="DJ36" s="9">
        <v>3.3</v>
      </c>
      <c r="DK36" s="83">
        <f t="shared" si="91"/>
        <v>1.1320754716981132</v>
      </c>
      <c r="DL36" s="98">
        <f t="shared" si="92"/>
        <v>0.88888888888888884</v>
      </c>
      <c r="DM36" s="84">
        <f t="shared" si="93"/>
        <v>1.0657572205051691</v>
      </c>
      <c r="DN36" s="10">
        <v>10.6</v>
      </c>
      <c r="DO36" s="7">
        <v>13.5</v>
      </c>
      <c r="DP36" s="9">
        <v>3.3</v>
      </c>
      <c r="DQ36" s="83">
        <f t="shared" si="174"/>
        <v>1.1320754716981132</v>
      </c>
      <c r="DR36" s="98">
        <f t="shared" si="175"/>
        <v>0.88888888888888884</v>
      </c>
      <c r="DS36" s="84">
        <f t="shared" si="176"/>
        <v>1.0657572205051691</v>
      </c>
      <c r="DT36" s="10">
        <v>10.6</v>
      </c>
      <c r="DU36" s="7">
        <v>13.5</v>
      </c>
      <c r="DV36" s="9">
        <v>3.3</v>
      </c>
      <c r="DW36" s="83">
        <f t="shared" si="177"/>
        <v>1.1320754716981132</v>
      </c>
      <c r="DX36" s="98">
        <f t="shared" si="178"/>
        <v>0.88888888888888884</v>
      </c>
      <c r="DY36" s="84">
        <f t="shared" si="179"/>
        <v>1.0657572205051691</v>
      </c>
      <c r="DZ36" s="10">
        <v>9.5</v>
      </c>
      <c r="EA36" s="7">
        <v>12.5</v>
      </c>
      <c r="EB36" s="9">
        <v>3.2</v>
      </c>
      <c r="EC36" s="83">
        <f t="shared" si="94"/>
        <v>1.263157894736842</v>
      </c>
      <c r="ED36" s="98">
        <f t="shared" si="95"/>
        <v>0.96</v>
      </c>
      <c r="EE36" s="84">
        <f t="shared" si="96"/>
        <v>1.0990621336459554</v>
      </c>
      <c r="EF36" s="10">
        <v>9.5</v>
      </c>
      <c r="EG36" s="7">
        <v>12.5</v>
      </c>
      <c r="EH36" s="9">
        <v>3.2</v>
      </c>
      <c r="EI36" s="83">
        <f t="shared" si="180"/>
        <v>1.263157894736842</v>
      </c>
      <c r="EJ36" s="98">
        <f t="shared" si="181"/>
        <v>0.96</v>
      </c>
      <c r="EK36" s="84">
        <f t="shared" si="182"/>
        <v>1.0990621336459554</v>
      </c>
      <c r="EL36" s="10">
        <v>9.5</v>
      </c>
      <c r="EM36" s="7">
        <v>12.5</v>
      </c>
      <c r="EN36" s="9">
        <v>3.2</v>
      </c>
      <c r="EO36" s="83">
        <f t="shared" si="183"/>
        <v>1.263157894736842</v>
      </c>
      <c r="EP36" s="98">
        <f t="shared" si="184"/>
        <v>0.96</v>
      </c>
      <c r="EQ36" s="84">
        <f t="shared" si="185"/>
        <v>1.0990621336459554</v>
      </c>
      <c r="ER36" s="10">
        <v>9.5</v>
      </c>
      <c r="ES36" s="7">
        <v>12.5</v>
      </c>
      <c r="ET36" s="9">
        <v>3.2</v>
      </c>
      <c r="EU36" s="83">
        <f t="shared" si="97"/>
        <v>1.263157894736842</v>
      </c>
      <c r="EV36" s="98">
        <f t="shared" si="98"/>
        <v>0.96</v>
      </c>
      <c r="EW36" s="84">
        <f t="shared" si="99"/>
        <v>1.0990621336459554</v>
      </c>
      <c r="EX36" s="10">
        <v>9.5</v>
      </c>
      <c r="EY36" s="7">
        <v>12.5</v>
      </c>
      <c r="EZ36" s="9">
        <v>3.2</v>
      </c>
      <c r="FA36" s="83">
        <f t="shared" si="186"/>
        <v>1.263157894736842</v>
      </c>
      <c r="FB36" s="98">
        <f t="shared" si="187"/>
        <v>0.96</v>
      </c>
      <c r="FC36" s="84">
        <f t="shared" si="188"/>
        <v>1.0990621336459554</v>
      </c>
      <c r="FD36" s="10">
        <v>9.5</v>
      </c>
      <c r="FE36" s="7">
        <v>12.5</v>
      </c>
      <c r="FF36" s="9">
        <v>3.2</v>
      </c>
      <c r="FG36" s="83">
        <f t="shared" si="189"/>
        <v>1.263157894736842</v>
      </c>
      <c r="FH36" s="98">
        <f t="shared" si="190"/>
        <v>0.96</v>
      </c>
      <c r="FI36" s="84">
        <f t="shared" si="191"/>
        <v>1.0990621336459554</v>
      </c>
      <c r="FJ36" s="12" t="s">
        <v>1449</v>
      </c>
    </row>
    <row r="37" spans="1:166" ht="15" customHeight="1" x14ac:dyDescent="0.25">
      <c r="A37" t="s">
        <v>1445</v>
      </c>
      <c r="C37" s="26" t="s">
        <v>1445</v>
      </c>
      <c r="D37" s="23">
        <v>9.8000000000000007</v>
      </c>
      <c r="E37" s="9">
        <v>14.3</v>
      </c>
      <c r="F37" s="83">
        <f t="shared" ref="F37" si="196">12/D37</f>
        <v>1.2244897959183672</v>
      </c>
      <c r="G37" s="84">
        <f t="shared" ref="G37" si="197">12/E37</f>
        <v>0.83916083916083917</v>
      </c>
      <c r="H37" s="11">
        <v>9.8000000000000007</v>
      </c>
      <c r="I37" s="9">
        <v>13.4</v>
      </c>
      <c r="J37" s="83">
        <f t="shared" ref="J37" si="198">12/H37</f>
        <v>1.2244897959183672</v>
      </c>
      <c r="K37" s="84">
        <f t="shared" ref="K37" si="199">12/I37</f>
        <v>0.89552238805970152</v>
      </c>
      <c r="L37" s="23">
        <v>9.8000000000000007</v>
      </c>
      <c r="M37" s="9">
        <v>13.8</v>
      </c>
      <c r="N37" s="83">
        <f t="shared" ref="N37" si="200">12/L37</f>
        <v>1.2244897959183672</v>
      </c>
      <c r="O37" s="84">
        <f t="shared" ref="O37" si="201">12/M37</f>
        <v>0.86956521739130432</v>
      </c>
      <c r="P37" s="11">
        <v>9.8000000000000007</v>
      </c>
      <c r="Q37" s="9">
        <v>13.4</v>
      </c>
      <c r="R37" s="83">
        <f t="shared" ref="R37" si="202">12/P37</f>
        <v>1.2244897959183672</v>
      </c>
      <c r="S37" s="84">
        <f t="shared" ref="S37" si="203">12/Q37</f>
        <v>0.89552238805970152</v>
      </c>
      <c r="BR37" s="27">
        <v>9.8000000000000007</v>
      </c>
      <c r="BS37" s="7">
        <v>14.3</v>
      </c>
      <c r="BT37" s="94">
        <v>7.5</v>
      </c>
      <c r="BU37" s="83">
        <f t="shared" ref="BU37" si="204">12/BR37</f>
        <v>1.2244897959183672</v>
      </c>
      <c r="BV37" s="98">
        <f t="shared" ref="BV37" si="205">12/BS37</f>
        <v>0.83916083916083917</v>
      </c>
      <c r="BW37" s="84">
        <f t="shared" ref="BW37" si="206">12/BT37</f>
        <v>1.6</v>
      </c>
      <c r="BX37" s="27">
        <v>9.8000000000000007</v>
      </c>
      <c r="BY37" s="7">
        <v>13.4</v>
      </c>
      <c r="BZ37" s="9">
        <v>6.7</v>
      </c>
      <c r="CA37" s="83">
        <f t="shared" ref="CA37" si="207">12/BX37</f>
        <v>1.2244897959183672</v>
      </c>
      <c r="CB37" s="98">
        <f t="shared" ref="CB37" si="208">12/BY37</f>
        <v>0.89552238805970152</v>
      </c>
      <c r="CC37" s="84">
        <f t="shared" ref="CC37" si="209">12/BZ37</f>
        <v>1.791044776119403</v>
      </c>
      <c r="CD37" s="27">
        <v>9.8000000000000007</v>
      </c>
      <c r="CE37" s="7">
        <v>14.3</v>
      </c>
      <c r="CF37" s="94">
        <v>7.5</v>
      </c>
      <c r="CG37" s="83">
        <f t="shared" ref="CG37" si="210">12/CD37</f>
        <v>1.2244897959183672</v>
      </c>
      <c r="CH37" s="98">
        <f t="shared" ref="CH37" si="211">12/CE37</f>
        <v>0.83916083916083917</v>
      </c>
      <c r="CI37" s="84">
        <f t="shared" ref="CI37" si="212">12/CF37</f>
        <v>1.6</v>
      </c>
      <c r="CJ37" s="27">
        <v>9.8000000000000007</v>
      </c>
      <c r="CK37" s="7">
        <v>13.4</v>
      </c>
      <c r="CL37" s="9">
        <v>6.7</v>
      </c>
      <c r="CM37" s="83">
        <f t="shared" ref="CM37" si="213">12/CJ37</f>
        <v>1.2244897959183672</v>
      </c>
      <c r="CN37" s="98">
        <f t="shared" ref="CN37" si="214">12/CK37</f>
        <v>0.89552238805970152</v>
      </c>
      <c r="CO37" s="84">
        <f t="shared" ref="CO37" si="215">12/CL37</f>
        <v>1.791044776119403</v>
      </c>
    </row>
    <row r="66" spans="8:68" ht="15" customHeight="1" x14ac:dyDescent="0.25">
      <c r="H66" s="3"/>
      <c r="I66" s="3"/>
      <c r="J66" s="3"/>
      <c r="K66" s="3"/>
      <c r="L66" s="3"/>
      <c r="M66" s="3"/>
      <c r="N66" s="3"/>
      <c r="O66" s="3"/>
      <c r="P66" s="3"/>
      <c r="Q66" s="3"/>
      <c r="R66" s="3"/>
      <c r="S66" s="3"/>
      <c r="T66" s="3"/>
      <c r="U66" s="3"/>
      <c r="V66" s="3"/>
      <c r="W66" s="3"/>
      <c r="X66" s="4"/>
      <c r="AJ66" s="4"/>
      <c r="AV66" s="4"/>
      <c r="BH66" s="4"/>
      <c r="BP66" s="6"/>
    </row>
    <row r="67" spans="8:68" ht="15" customHeight="1" x14ac:dyDescent="0.25">
      <c r="H67" s="3"/>
      <c r="I67" s="3"/>
      <c r="J67" s="3"/>
      <c r="K67" s="3"/>
      <c r="L67" s="3"/>
      <c r="M67" s="3"/>
      <c r="N67" s="3"/>
      <c r="O67" s="3"/>
      <c r="P67" s="3"/>
      <c r="Q67" s="3"/>
      <c r="R67" s="3"/>
      <c r="S67" s="3"/>
      <c r="T67" s="3"/>
      <c r="U67" s="3"/>
      <c r="V67" s="3"/>
      <c r="W67" s="3"/>
      <c r="X67" s="4"/>
      <c r="AJ67" s="4"/>
      <c r="AV67" s="4"/>
      <c r="BH67" s="4"/>
      <c r="BP67" s="6"/>
    </row>
    <row r="68" spans="8:68" ht="15" customHeight="1" x14ac:dyDescent="0.25">
      <c r="H68" s="3"/>
      <c r="I68" s="3"/>
      <c r="J68" s="3"/>
      <c r="K68" s="3"/>
      <c r="L68" s="3"/>
      <c r="M68" s="3"/>
      <c r="N68" s="3"/>
      <c r="O68" s="3"/>
      <c r="P68" s="3"/>
      <c r="Q68" s="3"/>
      <c r="R68" s="3"/>
      <c r="S68" s="3"/>
      <c r="T68" s="3"/>
      <c r="U68" s="3"/>
      <c r="V68" s="3"/>
      <c r="W68" s="3"/>
      <c r="X68" s="4"/>
      <c r="AJ68" s="4"/>
      <c r="AV68" s="4"/>
      <c r="BH68" s="4"/>
      <c r="BP68" s="6"/>
    </row>
    <row r="69" spans="8:68" ht="15" customHeight="1" x14ac:dyDescent="0.25">
      <c r="H69" s="3"/>
      <c r="I69" s="3"/>
      <c r="J69" s="3"/>
      <c r="K69" s="3"/>
      <c r="L69" s="3"/>
      <c r="M69" s="3"/>
      <c r="N69" s="3"/>
      <c r="O69" s="3"/>
      <c r="P69" s="3"/>
      <c r="Q69" s="3"/>
      <c r="R69" s="3"/>
      <c r="S69" s="3"/>
      <c r="T69" s="3"/>
      <c r="U69" s="3"/>
      <c r="V69" s="3"/>
      <c r="W69" s="3"/>
      <c r="X69" s="4"/>
      <c r="AJ69" s="4"/>
      <c r="AV69" s="4"/>
      <c r="BH69" s="4"/>
      <c r="BP69" s="6"/>
    </row>
    <row r="70" spans="8:68" ht="15" customHeight="1" x14ac:dyDescent="0.25">
      <c r="BI70" s="1"/>
      <c r="BJ70" s="1"/>
      <c r="BK70" s="1"/>
      <c r="BL70" s="1"/>
      <c r="BM70" s="1"/>
      <c r="BN70" s="1"/>
      <c r="BO70" s="1"/>
    </row>
  </sheetData>
  <pageMargins left="0.7" right="0.7" top="0.75" bottom="0.75" header="0.3" footer="0.3"/>
  <pageSetup paperSize="3" scale="13" orientation="landscape"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pageSetUpPr fitToPage="1"/>
  </sheetPr>
  <dimension ref="A1:BI71"/>
  <sheetViews>
    <sheetView zoomScale="70" zoomScaleNormal="70" zoomScaleSheetLayoutView="55" workbookViewId="0">
      <selection activeCell="D7" sqref="D7"/>
    </sheetView>
  </sheetViews>
  <sheetFormatPr defaultRowHeight="15" x14ac:dyDescent="0.25"/>
  <cols>
    <col min="1" max="1" width="10.42578125" customWidth="1"/>
    <col min="2" max="5" width="11.28515625" customWidth="1"/>
    <col min="6" max="8" width="9.42578125" customWidth="1"/>
    <col min="9" max="9" width="12.42578125" customWidth="1"/>
    <col min="10" max="11" width="9.42578125" customWidth="1"/>
    <col min="12" max="12" width="11.5703125" customWidth="1"/>
    <col min="13" max="13" width="12.5703125" customWidth="1"/>
    <col min="14" max="15" width="9.42578125" customWidth="1"/>
    <col min="16" max="16" width="11.7109375" customWidth="1"/>
    <col min="17" max="17" width="10.5703125" customWidth="1"/>
    <col min="18" max="18" width="3.42578125" customWidth="1"/>
    <col min="19" max="19" width="14.5703125" customWidth="1"/>
    <col min="20" max="20" width="16" customWidth="1"/>
    <col min="21" max="24" width="12.5703125" customWidth="1"/>
    <col min="25" max="25" width="14" customWidth="1"/>
    <col min="26" max="26" width="15.7109375" customWidth="1"/>
    <col min="27" max="29" width="14.5703125" customWidth="1"/>
    <col min="30" max="30" width="12.5703125" customWidth="1"/>
    <col min="31" max="31" width="13.5703125" customWidth="1"/>
    <col min="32" max="32" width="11.5703125" customWidth="1"/>
    <col min="33" max="35" width="13.140625" customWidth="1"/>
    <col min="36" max="36" width="12.5703125" customWidth="1"/>
    <col min="37" max="38" width="13.140625" customWidth="1"/>
    <col min="39" max="41" width="13.42578125" customWidth="1"/>
    <col min="42" max="42" width="12.5703125" customWidth="1"/>
    <col min="43" max="43" width="16.42578125" customWidth="1"/>
    <col min="44" max="44" width="14.28515625" customWidth="1"/>
    <col min="45" max="47" width="12.7109375" customWidth="1"/>
    <col min="48" max="48" width="12.5703125" customWidth="1"/>
    <col min="49" max="50" width="13.140625" customWidth="1"/>
    <col min="51" max="53" width="13.42578125" customWidth="1"/>
    <col min="54" max="54" width="12.5703125" customWidth="1"/>
    <col min="55" max="55" width="16.42578125" customWidth="1"/>
    <col min="56" max="56" width="14.28515625" customWidth="1"/>
    <col min="57" max="59" width="12.7109375" customWidth="1"/>
    <col min="60" max="60" width="12.5703125" customWidth="1"/>
    <col min="61" max="61" width="50.42578125" bestFit="1" customWidth="1"/>
  </cols>
  <sheetData>
    <row r="1" spans="1:61" x14ac:dyDescent="0.25">
      <c r="B1" t="s">
        <v>368</v>
      </c>
      <c r="F1" t="s">
        <v>368</v>
      </c>
      <c r="J1" t="s">
        <v>368</v>
      </c>
      <c r="N1" t="s">
        <v>368</v>
      </c>
      <c r="S1" t="s">
        <v>369</v>
      </c>
      <c r="Y1" t="s">
        <v>369</v>
      </c>
      <c r="AE1" t="s">
        <v>369</v>
      </c>
      <c r="AK1" t="s">
        <v>369</v>
      </c>
      <c r="AQ1" t="s">
        <v>369</v>
      </c>
      <c r="AW1" t="s">
        <v>369</v>
      </c>
      <c r="BC1" t="s">
        <v>369</v>
      </c>
    </row>
    <row r="2" spans="1:61" x14ac:dyDescent="0.25">
      <c r="T2" s="215" t="s">
        <v>381</v>
      </c>
      <c r="U2" s="215"/>
      <c r="V2" s="215"/>
      <c r="Y2" t="s">
        <v>341</v>
      </c>
      <c r="AE2" t="s">
        <v>342</v>
      </c>
      <c r="AK2" t="s">
        <v>341</v>
      </c>
      <c r="AQ2" t="s">
        <v>342</v>
      </c>
      <c r="AW2" t="s">
        <v>341</v>
      </c>
      <c r="BC2" t="s">
        <v>342</v>
      </c>
    </row>
    <row r="4" spans="1:61" x14ac:dyDescent="0.25">
      <c r="B4" t="s">
        <v>347</v>
      </c>
      <c r="F4" t="s">
        <v>359</v>
      </c>
      <c r="J4" t="s">
        <v>360</v>
      </c>
      <c r="N4" t="s">
        <v>354</v>
      </c>
      <c r="S4" t="s">
        <v>347</v>
      </c>
      <c r="Y4" t="s">
        <v>359</v>
      </c>
      <c r="AE4" t="s">
        <v>359</v>
      </c>
      <c r="AK4" t="s">
        <v>360</v>
      </c>
      <c r="AQ4" t="s">
        <v>360</v>
      </c>
      <c r="AW4" t="s">
        <v>354</v>
      </c>
      <c r="BC4" t="s">
        <v>354</v>
      </c>
    </row>
    <row r="5" spans="1:61" ht="15.75" thickBot="1" x14ac:dyDescent="0.3">
      <c r="B5" t="str">
        <f>B1&amp;B2&amp;B3&amp;B4</f>
        <v>VRFAirConditionerLessthan65kbtuh</v>
      </c>
      <c r="F5" t="str">
        <f>F1&amp;F2&amp;F3&amp;F4</f>
        <v>VRFAirConditioner65to135kbtuh</v>
      </c>
      <c r="J5" t="str">
        <f>J1&amp;J2&amp;J3&amp;J4</f>
        <v>VRFAirConditioner135to240kbtuh</v>
      </c>
      <c r="N5" t="str">
        <f>N1&amp;N2&amp;N3&amp;N4</f>
        <v>VRFAirConditionerGreaterthan240kbtuh</v>
      </c>
      <c r="S5" t="str">
        <f>S1&amp;S2&amp;S3&amp;S4</f>
        <v>VRFHeatPumpLessthan65kbtuh</v>
      </c>
      <c r="Y5" t="str">
        <f>Y1&amp;Y2&amp;Y3&amp;Y4</f>
        <v>VRFHeatPumpWithout Heat Recovery65to135kbtuh</v>
      </c>
      <c r="AE5" t="str">
        <f>AE1&amp;AE2&amp;AE3&amp;AE4</f>
        <v>VRFHeatPumpWith Heat Recovery65to135kbtuh</v>
      </c>
      <c r="AK5" t="str">
        <f>AK1&amp;AK2&amp;AK3&amp;AK4</f>
        <v>VRFHeatPumpWithout Heat Recovery135to240kbtuh</v>
      </c>
      <c r="AQ5" t="str">
        <f>AQ1&amp;AQ2&amp;AQ3&amp;AQ4</f>
        <v>VRFHeatPumpWith Heat Recovery135to240kbtuh</v>
      </c>
      <c r="AW5" t="str">
        <f>AW1&amp;AW2&amp;AW3&amp;AW4</f>
        <v>VRFHeatPumpWithout Heat RecoveryGreaterthan240kbtuh</v>
      </c>
      <c r="BC5" t="str">
        <f>BC1&amp;BC2&amp;BC3&amp;BC4</f>
        <v>VRFHeatPumpWith Heat RecoveryGreaterthan240kbtuh</v>
      </c>
    </row>
    <row r="6" spans="1:61" s="2" customFormat="1" x14ac:dyDescent="0.25">
      <c r="A6" s="211" t="s">
        <v>26</v>
      </c>
      <c r="B6" s="30" t="s">
        <v>7</v>
      </c>
      <c r="C6" s="26" t="s">
        <v>335</v>
      </c>
      <c r="D6" s="65" t="s">
        <v>45</v>
      </c>
      <c r="E6" s="66" t="s">
        <v>46</v>
      </c>
      <c r="F6" s="24" t="s">
        <v>7</v>
      </c>
      <c r="G6" s="26" t="s">
        <v>336</v>
      </c>
      <c r="H6" s="65" t="s">
        <v>45</v>
      </c>
      <c r="I6" s="66" t="s">
        <v>46</v>
      </c>
      <c r="J6" s="24" t="s">
        <v>7</v>
      </c>
      <c r="K6" s="26" t="s">
        <v>336</v>
      </c>
      <c r="L6" s="65" t="s">
        <v>45</v>
      </c>
      <c r="M6" s="66" t="s">
        <v>46</v>
      </c>
      <c r="N6" s="24" t="s">
        <v>7</v>
      </c>
      <c r="O6" s="26" t="s">
        <v>336</v>
      </c>
      <c r="P6" s="65" t="s">
        <v>45</v>
      </c>
      <c r="Q6" s="66" t="s">
        <v>46</v>
      </c>
      <c r="R6"/>
      <c r="S6" s="24" t="s">
        <v>7</v>
      </c>
      <c r="T6" s="25" t="s">
        <v>335</v>
      </c>
      <c r="U6" s="93" t="s">
        <v>8</v>
      </c>
      <c r="V6" s="65" t="s">
        <v>45</v>
      </c>
      <c r="W6" s="97" t="s">
        <v>46</v>
      </c>
      <c r="X6" s="66" t="s">
        <v>75</v>
      </c>
      <c r="Y6" s="24" t="s">
        <v>7</v>
      </c>
      <c r="Z6" s="25" t="s">
        <v>336</v>
      </c>
      <c r="AA6" s="26" t="s">
        <v>28</v>
      </c>
      <c r="AB6" s="65" t="s">
        <v>45</v>
      </c>
      <c r="AC6" s="97" t="s">
        <v>46</v>
      </c>
      <c r="AD6" s="66" t="s">
        <v>75</v>
      </c>
      <c r="AE6" s="24" t="s">
        <v>7</v>
      </c>
      <c r="AF6" s="25" t="s">
        <v>336</v>
      </c>
      <c r="AG6" s="26" t="s">
        <v>28</v>
      </c>
      <c r="AH6" s="65" t="s">
        <v>45</v>
      </c>
      <c r="AI6" s="97" t="s">
        <v>46</v>
      </c>
      <c r="AJ6" s="66" t="s">
        <v>75</v>
      </c>
      <c r="AK6" s="24" t="s">
        <v>7</v>
      </c>
      <c r="AL6" s="25" t="s">
        <v>336</v>
      </c>
      <c r="AM6" s="26" t="s">
        <v>28</v>
      </c>
      <c r="AN6" s="65" t="s">
        <v>45</v>
      </c>
      <c r="AO6" s="97" t="s">
        <v>46</v>
      </c>
      <c r="AP6" s="66" t="s">
        <v>75</v>
      </c>
      <c r="AQ6" s="24" t="s">
        <v>7</v>
      </c>
      <c r="AR6" s="25" t="s">
        <v>336</v>
      </c>
      <c r="AS6" s="26" t="s">
        <v>28</v>
      </c>
      <c r="AT6" s="65" t="s">
        <v>45</v>
      </c>
      <c r="AU6" s="97" t="s">
        <v>46</v>
      </c>
      <c r="AV6" s="66" t="s">
        <v>75</v>
      </c>
      <c r="AW6" s="24" t="s">
        <v>7</v>
      </c>
      <c r="AX6" s="25" t="s">
        <v>336</v>
      </c>
      <c r="AY6" s="26" t="s">
        <v>28</v>
      </c>
      <c r="AZ6" s="65" t="s">
        <v>45</v>
      </c>
      <c r="BA6" s="97" t="s">
        <v>46</v>
      </c>
      <c r="BB6" s="66" t="s">
        <v>75</v>
      </c>
      <c r="BC6" s="24" t="s">
        <v>7</v>
      </c>
      <c r="BD6" s="25" t="s">
        <v>336</v>
      </c>
      <c r="BE6" s="26" t="s">
        <v>28</v>
      </c>
      <c r="BF6" s="65" t="s">
        <v>45</v>
      </c>
      <c r="BG6" s="97" t="s">
        <v>46</v>
      </c>
      <c r="BH6" s="66" t="s">
        <v>75</v>
      </c>
      <c r="BI6" s="210" t="s">
        <v>0</v>
      </c>
    </row>
    <row r="7" spans="1:61" x14ac:dyDescent="0.25">
      <c r="A7" s="26" cm="1">
        <f t="array" ref="A7:A37">BaselineRow</f>
        <v>1997</v>
      </c>
      <c r="B7" s="23"/>
      <c r="C7" s="9"/>
      <c r="D7" s="646">
        <f t="shared" ref="D7:E32" si="0">D$37</f>
        <v>1.0256410256410258</v>
      </c>
      <c r="E7" s="648">
        <f t="shared" si="0"/>
        <v>0.83916083916083917</v>
      </c>
      <c r="F7" s="10"/>
      <c r="G7" s="9"/>
      <c r="H7" s="646">
        <f t="shared" ref="H7:I32" si="1">H$37</f>
        <v>1.0714285714285714</v>
      </c>
      <c r="I7" s="648">
        <f t="shared" si="1"/>
        <v>0.77419354838709675</v>
      </c>
      <c r="J7" s="10"/>
      <c r="K7" s="9"/>
      <c r="L7" s="646">
        <f t="shared" ref="L7:M32" si="2">L$37</f>
        <v>1.0909090909090908</v>
      </c>
      <c r="M7" s="648">
        <f t="shared" si="2"/>
        <v>0.80536912751677847</v>
      </c>
      <c r="N7" s="10"/>
      <c r="O7" s="9"/>
      <c r="P7" s="646">
        <f t="shared" ref="P7:Q32" si="3">P$37</f>
        <v>1.2</v>
      </c>
      <c r="Q7" s="648">
        <f t="shared" si="3"/>
        <v>0.86330935251798557</v>
      </c>
      <c r="S7" s="27"/>
      <c r="T7" s="7"/>
      <c r="U7" s="94"/>
      <c r="V7" s="652">
        <f>V$37</f>
        <v>1.026</v>
      </c>
      <c r="W7" s="653">
        <f>W$37</f>
        <v>0.83899999999999997</v>
      </c>
      <c r="X7" s="654">
        <f>X$37</f>
        <v>2.2000000000000002</v>
      </c>
      <c r="Y7" s="27"/>
      <c r="Z7" s="7"/>
      <c r="AA7" s="94"/>
      <c r="AB7" s="646">
        <f>AB$37</f>
        <v>1.0909090909090908</v>
      </c>
      <c r="AC7" s="647">
        <f t="shared" ref="AC7:AD22" si="4">AC$37</f>
        <v>0.82199999999999995</v>
      </c>
      <c r="AD7" s="648">
        <f t="shared" si="4"/>
        <v>3.4</v>
      </c>
      <c r="AE7" s="27"/>
      <c r="AF7" s="7"/>
      <c r="AG7" s="94"/>
      <c r="AH7" s="646">
        <f>AH$37</f>
        <v>1.1111111111111109</v>
      </c>
      <c r="AI7" s="647">
        <f t="shared" ref="AI7:AJ22" si="5">AI$37</f>
        <v>0.83299999999999996</v>
      </c>
      <c r="AJ7" s="648">
        <f t="shared" si="5"/>
        <v>3.4</v>
      </c>
      <c r="AK7" s="27"/>
      <c r="AL7" s="7"/>
      <c r="AM7" s="94"/>
      <c r="AN7" s="646">
        <f>AN$37</f>
        <v>1.1320754716981132</v>
      </c>
      <c r="AO7" s="647">
        <f t="shared" ref="AO7:AP22" si="6">AO$37</f>
        <v>0.86299999999999999</v>
      </c>
      <c r="AP7" s="648">
        <f t="shared" si="6"/>
        <v>3.3</v>
      </c>
      <c r="AQ7" s="27"/>
      <c r="AR7" s="7"/>
      <c r="AS7" s="94"/>
      <c r="AT7" s="646">
        <f>AT$37</f>
        <v>1.1538461538461537</v>
      </c>
      <c r="AU7" s="647">
        <f t="shared" ref="AU7:AV22" si="7">AU$37</f>
        <v>0.876</v>
      </c>
      <c r="AV7" s="648">
        <f t="shared" si="7"/>
        <v>3.3</v>
      </c>
      <c r="AW7" s="27"/>
      <c r="AX7" s="7"/>
      <c r="AY7" s="94"/>
      <c r="AZ7" s="646">
        <f>AZ$37</f>
        <v>1.263157894736842</v>
      </c>
      <c r="BA7" s="647">
        <f t="shared" ref="BA7:BB22" si="8">BA$37</f>
        <v>0.94499999999999995</v>
      </c>
      <c r="BB7" s="648">
        <f t="shared" si="8"/>
        <v>3.2</v>
      </c>
      <c r="BC7" s="27"/>
      <c r="BD7" s="7"/>
      <c r="BE7" s="94"/>
      <c r="BF7" s="646">
        <f>BF$37</f>
        <v>1.2903225806451613</v>
      </c>
      <c r="BG7" s="647">
        <f t="shared" ref="BG7:BH22" si="9">BG$37</f>
        <v>0.96</v>
      </c>
      <c r="BH7" s="648">
        <f t="shared" si="9"/>
        <v>3.2</v>
      </c>
      <c r="BI7" s="12"/>
    </row>
    <row r="8" spans="1:61" x14ac:dyDescent="0.25">
      <c r="A8" s="26">
        <v>1998</v>
      </c>
      <c r="B8" s="23"/>
      <c r="C8" s="9"/>
      <c r="D8" s="646">
        <f t="shared" si="0"/>
        <v>1.0256410256410258</v>
      </c>
      <c r="E8" s="648">
        <f t="shared" si="0"/>
        <v>0.83916083916083917</v>
      </c>
      <c r="F8" s="10"/>
      <c r="G8" s="9"/>
      <c r="H8" s="646">
        <f t="shared" si="1"/>
        <v>1.0714285714285714</v>
      </c>
      <c r="I8" s="648">
        <f t="shared" si="1"/>
        <v>0.77419354838709675</v>
      </c>
      <c r="J8" s="10"/>
      <c r="K8" s="9"/>
      <c r="L8" s="646">
        <f t="shared" si="2"/>
        <v>1.0909090909090908</v>
      </c>
      <c r="M8" s="648">
        <f t="shared" si="2"/>
        <v>0.80536912751677847</v>
      </c>
      <c r="N8" s="10"/>
      <c r="O8" s="9"/>
      <c r="P8" s="646">
        <f t="shared" si="3"/>
        <v>1.2</v>
      </c>
      <c r="Q8" s="648">
        <f t="shared" si="3"/>
        <v>0.86330935251798557</v>
      </c>
      <c r="S8" s="27"/>
      <c r="T8" s="7"/>
      <c r="U8" s="94"/>
      <c r="V8" s="652">
        <f t="shared" ref="V8:V35" si="10">V$37</f>
        <v>1.026</v>
      </c>
      <c r="W8" s="653">
        <f t="shared" ref="W8:X35" si="11">W$37</f>
        <v>0.83899999999999997</v>
      </c>
      <c r="X8" s="654">
        <f t="shared" si="11"/>
        <v>2.2000000000000002</v>
      </c>
      <c r="Y8" s="27"/>
      <c r="Z8" s="7"/>
      <c r="AA8" s="94"/>
      <c r="AB8" s="646">
        <f t="shared" ref="AB8:AD35" si="12">AB$37</f>
        <v>1.0909090909090908</v>
      </c>
      <c r="AC8" s="647">
        <f t="shared" si="4"/>
        <v>0.82199999999999995</v>
      </c>
      <c r="AD8" s="648">
        <f t="shared" si="4"/>
        <v>3.4</v>
      </c>
      <c r="AE8" s="27"/>
      <c r="AF8" s="7"/>
      <c r="AG8" s="94"/>
      <c r="AH8" s="646">
        <f t="shared" ref="AH8:AJ35" si="13">AH$37</f>
        <v>1.1111111111111109</v>
      </c>
      <c r="AI8" s="647">
        <f t="shared" si="5"/>
        <v>0.83299999999999996</v>
      </c>
      <c r="AJ8" s="648">
        <f t="shared" si="5"/>
        <v>3.4</v>
      </c>
      <c r="AK8" s="27"/>
      <c r="AL8" s="7"/>
      <c r="AM8" s="94"/>
      <c r="AN8" s="646">
        <f t="shared" ref="AN8:AP35" si="14">AN$37</f>
        <v>1.1320754716981132</v>
      </c>
      <c r="AO8" s="647">
        <f t="shared" si="6"/>
        <v>0.86299999999999999</v>
      </c>
      <c r="AP8" s="648">
        <f t="shared" si="6"/>
        <v>3.3</v>
      </c>
      <c r="AQ8" s="27"/>
      <c r="AR8" s="7"/>
      <c r="AS8" s="94"/>
      <c r="AT8" s="646">
        <f t="shared" ref="AT8:AV35" si="15">AT$37</f>
        <v>1.1538461538461537</v>
      </c>
      <c r="AU8" s="647">
        <f t="shared" si="7"/>
        <v>0.876</v>
      </c>
      <c r="AV8" s="648">
        <f t="shared" si="7"/>
        <v>3.3</v>
      </c>
      <c r="AW8" s="27"/>
      <c r="AX8" s="7"/>
      <c r="AY8" s="94"/>
      <c r="AZ8" s="646">
        <f t="shared" ref="AZ8:BB35" si="16">AZ$37</f>
        <v>1.263157894736842</v>
      </c>
      <c r="BA8" s="647">
        <f t="shared" si="8"/>
        <v>0.94499999999999995</v>
      </c>
      <c r="BB8" s="648">
        <f t="shared" si="8"/>
        <v>3.2</v>
      </c>
      <c r="BC8" s="27"/>
      <c r="BD8" s="7"/>
      <c r="BE8" s="94"/>
      <c r="BF8" s="646">
        <f t="shared" ref="BF8:BH35" si="17">BF$37</f>
        <v>1.2903225806451613</v>
      </c>
      <c r="BG8" s="647">
        <f t="shared" si="9"/>
        <v>0.96</v>
      </c>
      <c r="BH8" s="648">
        <f t="shared" si="9"/>
        <v>3.2</v>
      </c>
      <c r="BI8" s="12"/>
    </row>
    <row r="9" spans="1:61" x14ac:dyDescent="0.25">
      <c r="A9" s="26">
        <v>1999</v>
      </c>
      <c r="B9" s="23"/>
      <c r="C9" s="9"/>
      <c r="D9" s="646">
        <f t="shared" si="0"/>
        <v>1.0256410256410258</v>
      </c>
      <c r="E9" s="648">
        <f t="shared" si="0"/>
        <v>0.83916083916083917</v>
      </c>
      <c r="F9" s="10"/>
      <c r="G9" s="9"/>
      <c r="H9" s="646">
        <f t="shared" si="1"/>
        <v>1.0714285714285714</v>
      </c>
      <c r="I9" s="648">
        <f t="shared" si="1"/>
        <v>0.77419354838709675</v>
      </c>
      <c r="J9" s="10"/>
      <c r="K9" s="9"/>
      <c r="L9" s="646">
        <f t="shared" si="2"/>
        <v>1.0909090909090908</v>
      </c>
      <c r="M9" s="648">
        <f t="shared" si="2"/>
        <v>0.80536912751677847</v>
      </c>
      <c r="N9" s="10"/>
      <c r="O9" s="9"/>
      <c r="P9" s="646">
        <f t="shared" si="3"/>
        <v>1.2</v>
      </c>
      <c r="Q9" s="648">
        <f t="shared" si="3"/>
        <v>0.86330935251798557</v>
      </c>
      <c r="S9" s="27"/>
      <c r="T9" s="7"/>
      <c r="U9" s="94"/>
      <c r="V9" s="652">
        <f t="shared" si="10"/>
        <v>1.026</v>
      </c>
      <c r="W9" s="653">
        <f t="shared" si="11"/>
        <v>0.83899999999999997</v>
      </c>
      <c r="X9" s="654">
        <f t="shared" si="11"/>
        <v>2.2000000000000002</v>
      </c>
      <c r="Y9" s="27"/>
      <c r="Z9" s="7"/>
      <c r="AA9" s="94"/>
      <c r="AB9" s="646">
        <f t="shared" si="12"/>
        <v>1.0909090909090908</v>
      </c>
      <c r="AC9" s="647">
        <f t="shared" si="4"/>
        <v>0.82199999999999995</v>
      </c>
      <c r="AD9" s="648">
        <f t="shared" si="4"/>
        <v>3.4</v>
      </c>
      <c r="AE9" s="27"/>
      <c r="AF9" s="7"/>
      <c r="AG9" s="94"/>
      <c r="AH9" s="646">
        <f t="shared" si="13"/>
        <v>1.1111111111111109</v>
      </c>
      <c r="AI9" s="647">
        <f t="shared" si="5"/>
        <v>0.83299999999999996</v>
      </c>
      <c r="AJ9" s="648">
        <f t="shared" si="5"/>
        <v>3.4</v>
      </c>
      <c r="AK9" s="27"/>
      <c r="AL9" s="7"/>
      <c r="AM9" s="94"/>
      <c r="AN9" s="646">
        <f t="shared" si="14"/>
        <v>1.1320754716981132</v>
      </c>
      <c r="AO9" s="647">
        <f t="shared" si="6"/>
        <v>0.86299999999999999</v>
      </c>
      <c r="AP9" s="648">
        <f t="shared" si="6"/>
        <v>3.3</v>
      </c>
      <c r="AQ9" s="27"/>
      <c r="AR9" s="7"/>
      <c r="AS9" s="94"/>
      <c r="AT9" s="646">
        <f t="shared" si="15"/>
        <v>1.1538461538461537</v>
      </c>
      <c r="AU9" s="647">
        <f t="shared" si="7"/>
        <v>0.876</v>
      </c>
      <c r="AV9" s="648">
        <f t="shared" si="7"/>
        <v>3.3</v>
      </c>
      <c r="AW9" s="27"/>
      <c r="AX9" s="7"/>
      <c r="AY9" s="94"/>
      <c r="AZ9" s="646">
        <f t="shared" si="16"/>
        <v>1.263157894736842</v>
      </c>
      <c r="BA9" s="647">
        <f t="shared" si="8"/>
        <v>0.94499999999999995</v>
      </c>
      <c r="BB9" s="648">
        <f t="shared" si="8"/>
        <v>3.2</v>
      </c>
      <c r="BC9" s="27"/>
      <c r="BD9" s="7"/>
      <c r="BE9" s="94"/>
      <c r="BF9" s="646">
        <f t="shared" si="17"/>
        <v>1.2903225806451613</v>
      </c>
      <c r="BG9" s="647">
        <f t="shared" si="9"/>
        <v>0.96</v>
      </c>
      <c r="BH9" s="648">
        <f t="shared" si="9"/>
        <v>3.2</v>
      </c>
      <c r="BI9" s="12"/>
    </row>
    <row r="10" spans="1:61" x14ac:dyDescent="0.25">
      <c r="A10" s="26">
        <v>2000</v>
      </c>
      <c r="B10" s="23"/>
      <c r="C10" s="9"/>
      <c r="D10" s="646">
        <f t="shared" si="0"/>
        <v>1.0256410256410258</v>
      </c>
      <c r="E10" s="648">
        <f t="shared" si="0"/>
        <v>0.83916083916083917</v>
      </c>
      <c r="F10" s="10"/>
      <c r="G10" s="9"/>
      <c r="H10" s="646">
        <f t="shared" si="1"/>
        <v>1.0714285714285714</v>
      </c>
      <c r="I10" s="648">
        <f t="shared" si="1"/>
        <v>0.77419354838709675</v>
      </c>
      <c r="J10" s="10"/>
      <c r="K10" s="9"/>
      <c r="L10" s="646">
        <f t="shared" si="2"/>
        <v>1.0909090909090908</v>
      </c>
      <c r="M10" s="648">
        <f t="shared" si="2"/>
        <v>0.80536912751677847</v>
      </c>
      <c r="N10" s="10"/>
      <c r="O10" s="9"/>
      <c r="P10" s="646">
        <f t="shared" si="3"/>
        <v>1.2</v>
      </c>
      <c r="Q10" s="648">
        <f t="shared" si="3"/>
        <v>0.86330935251798557</v>
      </c>
      <c r="S10" s="27"/>
      <c r="T10" s="7"/>
      <c r="U10" s="94"/>
      <c r="V10" s="652">
        <f t="shared" si="10"/>
        <v>1.026</v>
      </c>
      <c r="W10" s="653">
        <f t="shared" si="11"/>
        <v>0.83899999999999997</v>
      </c>
      <c r="X10" s="654">
        <f t="shared" si="11"/>
        <v>2.2000000000000002</v>
      </c>
      <c r="Y10" s="27"/>
      <c r="Z10" s="7"/>
      <c r="AA10" s="94"/>
      <c r="AB10" s="646">
        <f t="shared" si="12"/>
        <v>1.0909090909090908</v>
      </c>
      <c r="AC10" s="647">
        <f t="shared" si="4"/>
        <v>0.82199999999999995</v>
      </c>
      <c r="AD10" s="648">
        <f t="shared" si="4"/>
        <v>3.4</v>
      </c>
      <c r="AE10" s="27"/>
      <c r="AF10" s="7"/>
      <c r="AG10" s="94"/>
      <c r="AH10" s="646">
        <f t="shared" si="13"/>
        <v>1.1111111111111109</v>
      </c>
      <c r="AI10" s="647">
        <f t="shared" si="5"/>
        <v>0.83299999999999996</v>
      </c>
      <c r="AJ10" s="648">
        <f t="shared" si="5"/>
        <v>3.4</v>
      </c>
      <c r="AK10" s="27"/>
      <c r="AL10" s="7"/>
      <c r="AM10" s="94"/>
      <c r="AN10" s="646">
        <f t="shared" si="14"/>
        <v>1.1320754716981132</v>
      </c>
      <c r="AO10" s="647">
        <f t="shared" si="6"/>
        <v>0.86299999999999999</v>
      </c>
      <c r="AP10" s="648">
        <f t="shared" si="6"/>
        <v>3.3</v>
      </c>
      <c r="AQ10" s="27"/>
      <c r="AR10" s="7"/>
      <c r="AS10" s="94"/>
      <c r="AT10" s="646">
        <f t="shared" si="15"/>
        <v>1.1538461538461537</v>
      </c>
      <c r="AU10" s="647">
        <f t="shared" si="7"/>
        <v>0.876</v>
      </c>
      <c r="AV10" s="648">
        <f t="shared" si="7"/>
        <v>3.3</v>
      </c>
      <c r="AW10" s="27"/>
      <c r="AX10" s="7"/>
      <c r="AY10" s="94"/>
      <c r="AZ10" s="646">
        <f t="shared" si="16"/>
        <v>1.263157894736842</v>
      </c>
      <c r="BA10" s="647">
        <f t="shared" si="8"/>
        <v>0.94499999999999995</v>
      </c>
      <c r="BB10" s="648">
        <f t="shared" si="8"/>
        <v>3.2</v>
      </c>
      <c r="BC10" s="27"/>
      <c r="BD10" s="7"/>
      <c r="BE10" s="94"/>
      <c r="BF10" s="646">
        <f t="shared" si="17"/>
        <v>1.2903225806451613</v>
      </c>
      <c r="BG10" s="647">
        <f t="shared" si="9"/>
        <v>0.96</v>
      </c>
      <c r="BH10" s="648">
        <f t="shared" si="9"/>
        <v>3.2</v>
      </c>
      <c r="BI10" s="12"/>
    </row>
    <row r="11" spans="1:61" x14ac:dyDescent="0.25">
      <c r="A11" s="26">
        <v>2001</v>
      </c>
      <c r="B11" s="23"/>
      <c r="C11" s="9"/>
      <c r="D11" s="646">
        <f t="shared" si="0"/>
        <v>1.0256410256410258</v>
      </c>
      <c r="E11" s="648">
        <f t="shared" si="0"/>
        <v>0.83916083916083917</v>
      </c>
      <c r="F11" s="10"/>
      <c r="G11" s="9"/>
      <c r="H11" s="646">
        <f t="shared" si="1"/>
        <v>1.0714285714285714</v>
      </c>
      <c r="I11" s="648">
        <f t="shared" si="1"/>
        <v>0.77419354838709675</v>
      </c>
      <c r="J11" s="10"/>
      <c r="K11" s="9"/>
      <c r="L11" s="646">
        <f t="shared" si="2"/>
        <v>1.0909090909090908</v>
      </c>
      <c r="M11" s="648">
        <f t="shared" si="2"/>
        <v>0.80536912751677847</v>
      </c>
      <c r="N11" s="10"/>
      <c r="O11" s="9"/>
      <c r="P11" s="646">
        <f t="shared" si="3"/>
        <v>1.2</v>
      </c>
      <c r="Q11" s="648">
        <f t="shared" si="3"/>
        <v>0.86330935251798557</v>
      </c>
      <c r="S11" s="27"/>
      <c r="T11" s="7"/>
      <c r="U11" s="94"/>
      <c r="V11" s="652">
        <f t="shared" si="10"/>
        <v>1.026</v>
      </c>
      <c r="W11" s="653">
        <f t="shared" si="11"/>
        <v>0.83899999999999997</v>
      </c>
      <c r="X11" s="654">
        <f t="shared" si="11"/>
        <v>2.2000000000000002</v>
      </c>
      <c r="Y11" s="27"/>
      <c r="Z11" s="7"/>
      <c r="AA11" s="94"/>
      <c r="AB11" s="646">
        <f t="shared" si="12"/>
        <v>1.0909090909090908</v>
      </c>
      <c r="AC11" s="647">
        <f t="shared" si="4"/>
        <v>0.82199999999999995</v>
      </c>
      <c r="AD11" s="648">
        <f t="shared" si="4"/>
        <v>3.4</v>
      </c>
      <c r="AE11" s="27"/>
      <c r="AF11" s="7"/>
      <c r="AG11" s="94"/>
      <c r="AH11" s="646">
        <f t="shared" si="13"/>
        <v>1.1111111111111109</v>
      </c>
      <c r="AI11" s="647">
        <f t="shared" si="5"/>
        <v>0.83299999999999996</v>
      </c>
      <c r="AJ11" s="648">
        <f t="shared" si="5"/>
        <v>3.4</v>
      </c>
      <c r="AK11" s="27"/>
      <c r="AL11" s="7"/>
      <c r="AM11" s="94"/>
      <c r="AN11" s="646">
        <f t="shared" si="14"/>
        <v>1.1320754716981132</v>
      </c>
      <c r="AO11" s="647">
        <f t="shared" si="6"/>
        <v>0.86299999999999999</v>
      </c>
      <c r="AP11" s="648">
        <f t="shared" si="6"/>
        <v>3.3</v>
      </c>
      <c r="AQ11" s="27"/>
      <c r="AR11" s="7"/>
      <c r="AS11" s="94"/>
      <c r="AT11" s="646">
        <f t="shared" si="15"/>
        <v>1.1538461538461537</v>
      </c>
      <c r="AU11" s="647">
        <f t="shared" si="7"/>
        <v>0.876</v>
      </c>
      <c r="AV11" s="648">
        <f t="shared" si="7"/>
        <v>3.3</v>
      </c>
      <c r="AW11" s="27"/>
      <c r="AX11" s="7"/>
      <c r="AY11" s="94"/>
      <c r="AZ11" s="646">
        <f t="shared" si="16"/>
        <v>1.263157894736842</v>
      </c>
      <c r="BA11" s="647">
        <f t="shared" si="8"/>
        <v>0.94499999999999995</v>
      </c>
      <c r="BB11" s="648">
        <f t="shared" si="8"/>
        <v>3.2</v>
      </c>
      <c r="BC11" s="27"/>
      <c r="BD11" s="7"/>
      <c r="BE11" s="94"/>
      <c r="BF11" s="646">
        <f t="shared" si="17"/>
        <v>1.2903225806451613</v>
      </c>
      <c r="BG11" s="647">
        <f t="shared" si="9"/>
        <v>0.96</v>
      </c>
      <c r="BH11" s="648">
        <f t="shared" si="9"/>
        <v>3.2</v>
      </c>
      <c r="BI11" s="12"/>
    </row>
    <row r="12" spans="1:61" x14ac:dyDescent="0.25">
      <c r="A12" s="26">
        <v>2002</v>
      </c>
      <c r="B12" s="23"/>
      <c r="C12" s="9"/>
      <c r="D12" s="646">
        <f t="shared" si="0"/>
        <v>1.0256410256410258</v>
      </c>
      <c r="E12" s="648">
        <f t="shared" si="0"/>
        <v>0.83916083916083917</v>
      </c>
      <c r="F12" s="10"/>
      <c r="G12" s="9"/>
      <c r="H12" s="646">
        <f t="shared" si="1"/>
        <v>1.0714285714285714</v>
      </c>
      <c r="I12" s="648">
        <f t="shared" si="1"/>
        <v>0.77419354838709675</v>
      </c>
      <c r="J12" s="10"/>
      <c r="K12" s="9"/>
      <c r="L12" s="646">
        <f t="shared" si="2"/>
        <v>1.0909090909090908</v>
      </c>
      <c r="M12" s="648">
        <f t="shared" si="2"/>
        <v>0.80536912751677847</v>
      </c>
      <c r="N12" s="10"/>
      <c r="O12" s="9"/>
      <c r="P12" s="646">
        <f t="shared" si="3"/>
        <v>1.2</v>
      </c>
      <c r="Q12" s="648">
        <f t="shared" si="3"/>
        <v>0.86330935251798557</v>
      </c>
      <c r="S12" s="27"/>
      <c r="T12" s="7"/>
      <c r="U12" s="94"/>
      <c r="V12" s="652">
        <f t="shared" si="10"/>
        <v>1.026</v>
      </c>
      <c r="W12" s="653">
        <f t="shared" si="11"/>
        <v>0.83899999999999997</v>
      </c>
      <c r="X12" s="654">
        <f t="shared" si="11"/>
        <v>2.2000000000000002</v>
      </c>
      <c r="Y12" s="27"/>
      <c r="Z12" s="7"/>
      <c r="AA12" s="94"/>
      <c r="AB12" s="646">
        <f t="shared" si="12"/>
        <v>1.0909090909090908</v>
      </c>
      <c r="AC12" s="647">
        <f t="shared" si="4"/>
        <v>0.82199999999999995</v>
      </c>
      <c r="AD12" s="648">
        <f t="shared" si="4"/>
        <v>3.4</v>
      </c>
      <c r="AE12" s="27"/>
      <c r="AF12" s="7"/>
      <c r="AG12" s="94"/>
      <c r="AH12" s="646">
        <f t="shared" si="13"/>
        <v>1.1111111111111109</v>
      </c>
      <c r="AI12" s="647">
        <f t="shared" si="5"/>
        <v>0.83299999999999996</v>
      </c>
      <c r="AJ12" s="648">
        <f t="shared" si="5"/>
        <v>3.4</v>
      </c>
      <c r="AK12" s="27"/>
      <c r="AL12" s="7"/>
      <c r="AM12" s="94"/>
      <c r="AN12" s="646">
        <f t="shared" si="14"/>
        <v>1.1320754716981132</v>
      </c>
      <c r="AO12" s="647">
        <f t="shared" si="6"/>
        <v>0.86299999999999999</v>
      </c>
      <c r="AP12" s="648">
        <f t="shared" si="6"/>
        <v>3.3</v>
      </c>
      <c r="AQ12" s="27"/>
      <c r="AR12" s="7"/>
      <c r="AS12" s="94"/>
      <c r="AT12" s="646">
        <f t="shared" si="15"/>
        <v>1.1538461538461537</v>
      </c>
      <c r="AU12" s="647">
        <f t="shared" si="7"/>
        <v>0.876</v>
      </c>
      <c r="AV12" s="648">
        <f t="shared" si="7"/>
        <v>3.3</v>
      </c>
      <c r="AW12" s="27"/>
      <c r="AX12" s="7"/>
      <c r="AY12" s="94"/>
      <c r="AZ12" s="646">
        <f t="shared" si="16"/>
        <v>1.263157894736842</v>
      </c>
      <c r="BA12" s="647">
        <f t="shared" si="8"/>
        <v>0.94499999999999995</v>
      </c>
      <c r="BB12" s="648">
        <f t="shared" si="8"/>
        <v>3.2</v>
      </c>
      <c r="BC12" s="27"/>
      <c r="BD12" s="7"/>
      <c r="BE12" s="94"/>
      <c r="BF12" s="646">
        <f t="shared" si="17"/>
        <v>1.2903225806451613</v>
      </c>
      <c r="BG12" s="647">
        <f t="shared" si="9"/>
        <v>0.96</v>
      </c>
      <c r="BH12" s="648">
        <f t="shared" si="9"/>
        <v>3.2</v>
      </c>
      <c r="BI12" s="12"/>
    </row>
    <row r="13" spans="1:61" x14ac:dyDescent="0.25">
      <c r="A13" s="26">
        <v>2003</v>
      </c>
      <c r="B13" s="23"/>
      <c r="C13" s="9"/>
      <c r="D13" s="646">
        <f t="shared" si="0"/>
        <v>1.0256410256410258</v>
      </c>
      <c r="E13" s="648">
        <f t="shared" si="0"/>
        <v>0.83916083916083917</v>
      </c>
      <c r="F13" s="10"/>
      <c r="G13" s="9"/>
      <c r="H13" s="646">
        <f t="shared" si="1"/>
        <v>1.0714285714285714</v>
      </c>
      <c r="I13" s="648">
        <f t="shared" si="1"/>
        <v>0.77419354838709675</v>
      </c>
      <c r="J13" s="10"/>
      <c r="K13" s="9"/>
      <c r="L13" s="646">
        <f t="shared" si="2"/>
        <v>1.0909090909090908</v>
      </c>
      <c r="M13" s="648">
        <f t="shared" si="2"/>
        <v>0.80536912751677847</v>
      </c>
      <c r="N13" s="10"/>
      <c r="O13" s="9"/>
      <c r="P13" s="646">
        <f t="shared" si="3"/>
        <v>1.2</v>
      </c>
      <c r="Q13" s="648">
        <f t="shared" si="3"/>
        <v>0.86330935251798557</v>
      </c>
      <c r="S13" s="27"/>
      <c r="T13" s="7"/>
      <c r="U13" s="94"/>
      <c r="V13" s="652">
        <f t="shared" si="10"/>
        <v>1.026</v>
      </c>
      <c r="W13" s="653">
        <f t="shared" si="11"/>
        <v>0.83899999999999997</v>
      </c>
      <c r="X13" s="654">
        <f t="shared" si="11"/>
        <v>2.2000000000000002</v>
      </c>
      <c r="Y13" s="27"/>
      <c r="Z13" s="7"/>
      <c r="AA13" s="94"/>
      <c r="AB13" s="646">
        <f t="shared" si="12"/>
        <v>1.0909090909090908</v>
      </c>
      <c r="AC13" s="647">
        <f t="shared" si="4"/>
        <v>0.82199999999999995</v>
      </c>
      <c r="AD13" s="648">
        <f t="shared" si="4"/>
        <v>3.4</v>
      </c>
      <c r="AE13" s="27"/>
      <c r="AF13" s="7"/>
      <c r="AG13" s="94"/>
      <c r="AH13" s="646">
        <f t="shared" si="13"/>
        <v>1.1111111111111109</v>
      </c>
      <c r="AI13" s="647">
        <f t="shared" si="5"/>
        <v>0.83299999999999996</v>
      </c>
      <c r="AJ13" s="648">
        <f t="shared" si="5"/>
        <v>3.4</v>
      </c>
      <c r="AK13" s="27"/>
      <c r="AL13" s="7"/>
      <c r="AM13" s="94"/>
      <c r="AN13" s="646">
        <f t="shared" si="14"/>
        <v>1.1320754716981132</v>
      </c>
      <c r="AO13" s="647">
        <f t="shared" si="6"/>
        <v>0.86299999999999999</v>
      </c>
      <c r="AP13" s="648">
        <f t="shared" si="6"/>
        <v>3.3</v>
      </c>
      <c r="AQ13" s="27"/>
      <c r="AR13" s="7"/>
      <c r="AS13" s="94"/>
      <c r="AT13" s="646">
        <f t="shared" si="15"/>
        <v>1.1538461538461537</v>
      </c>
      <c r="AU13" s="647">
        <f t="shared" si="7"/>
        <v>0.876</v>
      </c>
      <c r="AV13" s="648">
        <f t="shared" si="7"/>
        <v>3.3</v>
      </c>
      <c r="AW13" s="27"/>
      <c r="AX13" s="7"/>
      <c r="AY13" s="94"/>
      <c r="AZ13" s="646">
        <f t="shared" si="16"/>
        <v>1.263157894736842</v>
      </c>
      <c r="BA13" s="647">
        <f t="shared" si="8"/>
        <v>0.94499999999999995</v>
      </c>
      <c r="BB13" s="648">
        <f t="shared" si="8"/>
        <v>3.2</v>
      </c>
      <c r="BC13" s="27"/>
      <c r="BD13" s="7"/>
      <c r="BE13" s="94"/>
      <c r="BF13" s="646">
        <f t="shared" si="17"/>
        <v>1.2903225806451613</v>
      </c>
      <c r="BG13" s="647">
        <f t="shared" si="9"/>
        <v>0.96</v>
      </c>
      <c r="BH13" s="648">
        <f t="shared" si="9"/>
        <v>3.2</v>
      </c>
      <c r="BI13" s="12"/>
    </row>
    <row r="14" spans="1:61" x14ac:dyDescent="0.25">
      <c r="A14" s="26">
        <v>2004</v>
      </c>
      <c r="B14" s="23"/>
      <c r="C14" s="9"/>
      <c r="D14" s="646">
        <f t="shared" si="0"/>
        <v>1.0256410256410258</v>
      </c>
      <c r="E14" s="648">
        <f t="shared" si="0"/>
        <v>0.83916083916083917</v>
      </c>
      <c r="F14" s="10"/>
      <c r="G14" s="9"/>
      <c r="H14" s="646">
        <f t="shared" si="1"/>
        <v>1.0714285714285714</v>
      </c>
      <c r="I14" s="648">
        <f t="shared" si="1"/>
        <v>0.77419354838709675</v>
      </c>
      <c r="J14" s="10"/>
      <c r="K14" s="9"/>
      <c r="L14" s="646">
        <f t="shared" si="2"/>
        <v>1.0909090909090908</v>
      </c>
      <c r="M14" s="648">
        <f t="shared" si="2"/>
        <v>0.80536912751677847</v>
      </c>
      <c r="N14" s="10"/>
      <c r="O14" s="9"/>
      <c r="P14" s="646">
        <f t="shared" si="3"/>
        <v>1.2</v>
      </c>
      <c r="Q14" s="648">
        <f t="shared" si="3"/>
        <v>0.86330935251798557</v>
      </c>
      <c r="S14" s="27"/>
      <c r="T14" s="7"/>
      <c r="U14" s="94"/>
      <c r="V14" s="652">
        <f t="shared" si="10"/>
        <v>1.026</v>
      </c>
      <c r="W14" s="653">
        <f t="shared" si="11"/>
        <v>0.83899999999999997</v>
      </c>
      <c r="X14" s="654">
        <f t="shared" si="11"/>
        <v>2.2000000000000002</v>
      </c>
      <c r="Y14" s="27"/>
      <c r="Z14" s="7"/>
      <c r="AA14" s="94"/>
      <c r="AB14" s="646">
        <f t="shared" si="12"/>
        <v>1.0909090909090908</v>
      </c>
      <c r="AC14" s="647">
        <f t="shared" si="4"/>
        <v>0.82199999999999995</v>
      </c>
      <c r="AD14" s="648">
        <f t="shared" si="4"/>
        <v>3.4</v>
      </c>
      <c r="AE14" s="27"/>
      <c r="AF14" s="7"/>
      <c r="AG14" s="94"/>
      <c r="AH14" s="646">
        <f t="shared" si="13"/>
        <v>1.1111111111111109</v>
      </c>
      <c r="AI14" s="647">
        <f t="shared" si="5"/>
        <v>0.83299999999999996</v>
      </c>
      <c r="AJ14" s="648">
        <f t="shared" si="5"/>
        <v>3.4</v>
      </c>
      <c r="AK14" s="27"/>
      <c r="AL14" s="7"/>
      <c r="AM14" s="94"/>
      <c r="AN14" s="646">
        <f t="shared" si="14"/>
        <v>1.1320754716981132</v>
      </c>
      <c r="AO14" s="647">
        <f t="shared" si="6"/>
        <v>0.86299999999999999</v>
      </c>
      <c r="AP14" s="648">
        <f t="shared" si="6"/>
        <v>3.3</v>
      </c>
      <c r="AQ14" s="27"/>
      <c r="AR14" s="7"/>
      <c r="AS14" s="94"/>
      <c r="AT14" s="646">
        <f t="shared" si="15"/>
        <v>1.1538461538461537</v>
      </c>
      <c r="AU14" s="647">
        <f t="shared" si="7"/>
        <v>0.876</v>
      </c>
      <c r="AV14" s="648">
        <f t="shared" si="7"/>
        <v>3.3</v>
      </c>
      <c r="AW14" s="27"/>
      <c r="AX14" s="7"/>
      <c r="AY14" s="94"/>
      <c r="AZ14" s="646">
        <f t="shared" si="16"/>
        <v>1.263157894736842</v>
      </c>
      <c r="BA14" s="647">
        <f t="shared" si="8"/>
        <v>0.94499999999999995</v>
      </c>
      <c r="BB14" s="648">
        <f t="shared" si="8"/>
        <v>3.2</v>
      </c>
      <c r="BC14" s="27"/>
      <c r="BD14" s="7"/>
      <c r="BE14" s="94"/>
      <c r="BF14" s="646">
        <f t="shared" si="17"/>
        <v>1.2903225806451613</v>
      </c>
      <c r="BG14" s="647">
        <f t="shared" si="9"/>
        <v>0.96</v>
      </c>
      <c r="BH14" s="648">
        <f t="shared" si="9"/>
        <v>3.2</v>
      </c>
      <c r="BI14" s="12"/>
    </row>
    <row r="15" spans="1:61" x14ac:dyDescent="0.25">
      <c r="A15" s="26">
        <v>2005</v>
      </c>
      <c r="B15" s="23"/>
      <c r="C15" s="9"/>
      <c r="D15" s="646">
        <f t="shared" si="0"/>
        <v>1.0256410256410258</v>
      </c>
      <c r="E15" s="648">
        <f t="shared" si="0"/>
        <v>0.83916083916083917</v>
      </c>
      <c r="F15" s="10"/>
      <c r="G15" s="9"/>
      <c r="H15" s="646">
        <f t="shared" si="1"/>
        <v>1.0714285714285714</v>
      </c>
      <c r="I15" s="648">
        <f t="shared" si="1"/>
        <v>0.77419354838709675</v>
      </c>
      <c r="J15" s="10"/>
      <c r="K15" s="9"/>
      <c r="L15" s="646">
        <f t="shared" si="2"/>
        <v>1.0909090909090908</v>
      </c>
      <c r="M15" s="648">
        <f t="shared" si="2"/>
        <v>0.80536912751677847</v>
      </c>
      <c r="N15" s="10"/>
      <c r="O15" s="9"/>
      <c r="P15" s="646">
        <f t="shared" si="3"/>
        <v>1.2</v>
      </c>
      <c r="Q15" s="648">
        <f t="shared" si="3"/>
        <v>0.86330935251798557</v>
      </c>
      <c r="S15" s="27"/>
      <c r="T15" s="7"/>
      <c r="U15" s="94"/>
      <c r="V15" s="652">
        <f t="shared" si="10"/>
        <v>1.026</v>
      </c>
      <c r="W15" s="653">
        <f t="shared" si="11"/>
        <v>0.83899999999999997</v>
      </c>
      <c r="X15" s="654">
        <f t="shared" si="11"/>
        <v>2.2000000000000002</v>
      </c>
      <c r="Y15" s="27"/>
      <c r="Z15" s="7"/>
      <c r="AA15" s="94"/>
      <c r="AB15" s="646">
        <f t="shared" si="12"/>
        <v>1.0909090909090908</v>
      </c>
      <c r="AC15" s="647">
        <f t="shared" si="4"/>
        <v>0.82199999999999995</v>
      </c>
      <c r="AD15" s="648">
        <f t="shared" si="4"/>
        <v>3.4</v>
      </c>
      <c r="AE15" s="27"/>
      <c r="AF15" s="7"/>
      <c r="AG15" s="94"/>
      <c r="AH15" s="646">
        <f t="shared" si="13"/>
        <v>1.1111111111111109</v>
      </c>
      <c r="AI15" s="647">
        <f t="shared" si="5"/>
        <v>0.83299999999999996</v>
      </c>
      <c r="AJ15" s="648">
        <f t="shared" si="5"/>
        <v>3.4</v>
      </c>
      <c r="AK15" s="27"/>
      <c r="AL15" s="7"/>
      <c r="AM15" s="94"/>
      <c r="AN15" s="646">
        <f t="shared" si="14"/>
        <v>1.1320754716981132</v>
      </c>
      <c r="AO15" s="647">
        <f t="shared" si="6"/>
        <v>0.86299999999999999</v>
      </c>
      <c r="AP15" s="648">
        <f t="shared" si="6"/>
        <v>3.3</v>
      </c>
      <c r="AQ15" s="27"/>
      <c r="AR15" s="7"/>
      <c r="AS15" s="94"/>
      <c r="AT15" s="646">
        <f t="shared" si="15"/>
        <v>1.1538461538461537</v>
      </c>
      <c r="AU15" s="647">
        <f t="shared" si="7"/>
        <v>0.876</v>
      </c>
      <c r="AV15" s="648">
        <f t="shared" si="7"/>
        <v>3.3</v>
      </c>
      <c r="AW15" s="27"/>
      <c r="AX15" s="7"/>
      <c r="AY15" s="94"/>
      <c r="AZ15" s="646">
        <f t="shared" si="16"/>
        <v>1.263157894736842</v>
      </c>
      <c r="BA15" s="647">
        <f t="shared" si="8"/>
        <v>0.94499999999999995</v>
      </c>
      <c r="BB15" s="648">
        <f t="shared" si="8"/>
        <v>3.2</v>
      </c>
      <c r="BC15" s="27"/>
      <c r="BD15" s="7"/>
      <c r="BE15" s="94"/>
      <c r="BF15" s="646">
        <f t="shared" si="17"/>
        <v>1.2903225806451613</v>
      </c>
      <c r="BG15" s="647">
        <f t="shared" si="9"/>
        <v>0.96</v>
      </c>
      <c r="BH15" s="648">
        <f t="shared" si="9"/>
        <v>3.2</v>
      </c>
      <c r="BI15" s="12"/>
    </row>
    <row r="16" spans="1:61" x14ac:dyDescent="0.25">
      <c r="A16" s="26">
        <v>2006</v>
      </c>
      <c r="B16" s="23"/>
      <c r="C16" s="9"/>
      <c r="D16" s="646">
        <f t="shared" si="0"/>
        <v>1.0256410256410258</v>
      </c>
      <c r="E16" s="648">
        <f t="shared" si="0"/>
        <v>0.83916083916083917</v>
      </c>
      <c r="F16" s="10"/>
      <c r="G16" s="9"/>
      <c r="H16" s="646">
        <f t="shared" si="1"/>
        <v>1.0714285714285714</v>
      </c>
      <c r="I16" s="648">
        <f t="shared" si="1"/>
        <v>0.77419354838709675</v>
      </c>
      <c r="J16" s="10"/>
      <c r="K16" s="9"/>
      <c r="L16" s="646">
        <f t="shared" si="2"/>
        <v>1.0909090909090908</v>
      </c>
      <c r="M16" s="648">
        <f t="shared" si="2"/>
        <v>0.80536912751677847</v>
      </c>
      <c r="N16" s="10"/>
      <c r="O16" s="9"/>
      <c r="P16" s="646">
        <f t="shared" si="3"/>
        <v>1.2</v>
      </c>
      <c r="Q16" s="648">
        <f t="shared" si="3"/>
        <v>0.86330935251798557</v>
      </c>
      <c r="S16" s="27"/>
      <c r="T16" s="7"/>
      <c r="U16" s="94"/>
      <c r="V16" s="652">
        <f t="shared" si="10"/>
        <v>1.026</v>
      </c>
      <c r="W16" s="653">
        <f t="shared" si="11"/>
        <v>0.83899999999999997</v>
      </c>
      <c r="X16" s="654">
        <f t="shared" si="11"/>
        <v>2.2000000000000002</v>
      </c>
      <c r="Y16" s="27"/>
      <c r="Z16" s="7"/>
      <c r="AA16" s="94"/>
      <c r="AB16" s="646">
        <f t="shared" si="12"/>
        <v>1.0909090909090908</v>
      </c>
      <c r="AC16" s="647">
        <f t="shared" si="4"/>
        <v>0.82199999999999995</v>
      </c>
      <c r="AD16" s="648">
        <f t="shared" si="4"/>
        <v>3.4</v>
      </c>
      <c r="AE16" s="27"/>
      <c r="AF16" s="7"/>
      <c r="AG16" s="94"/>
      <c r="AH16" s="646">
        <f t="shared" si="13"/>
        <v>1.1111111111111109</v>
      </c>
      <c r="AI16" s="647">
        <f t="shared" si="5"/>
        <v>0.83299999999999996</v>
      </c>
      <c r="AJ16" s="648">
        <f t="shared" si="5"/>
        <v>3.4</v>
      </c>
      <c r="AK16" s="27"/>
      <c r="AL16" s="7"/>
      <c r="AM16" s="94"/>
      <c r="AN16" s="646">
        <f t="shared" si="14"/>
        <v>1.1320754716981132</v>
      </c>
      <c r="AO16" s="647">
        <f t="shared" si="6"/>
        <v>0.86299999999999999</v>
      </c>
      <c r="AP16" s="648">
        <f t="shared" si="6"/>
        <v>3.3</v>
      </c>
      <c r="AQ16" s="27"/>
      <c r="AR16" s="7"/>
      <c r="AS16" s="94"/>
      <c r="AT16" s="646">
        <f t="shared" si="15"/>
        <v>1.1538461538461537</v>
      </c>
      <c r="AU16" s="647">
        <f t="shared" si="7"/>
        <v>0.876</v>
      </c>
      <c r="AV16" s="648">
        <f t="shared" si="7"/>
        <v>3.3</v>
      </c>
      <c r="AW16" s="27"/>
      <c r="AX16" s="7"/>
      <c r="AY16" s="94"/>
      <c r="AZ16" s="646">
        <f t="shared" si="16"/>
        <v>1.263157894736842</v>
      </c>
      <c r="BA16" s="647">
        <f t="shared" si="8"/>
        <v>0.94499999999999995</v>
      </c>
      <c r="BB16" s="648">
        <f t="shared" si="8"/>
        <v>3.2</v>
      </c>
      <c r="BC16" s="27"/>
      <c r="BD16" s="7"/>
      <c r="BE16" s="94"/>
      <c r="BF16" s="646">
        <f t="shared" si="17"/>
        <v>1.2903225806451613</v>
      </c>
      <c r="BG16" s="647">
        <f t="shared" si="9"/>
        <v>0.96</v>
      </c>
      <c r="BH16" s="648">
        <f t="shared" si="9"/>
        <v>3.2</v>
      </c>
      <c r="BI16" s="12"/>
    </row>
    <row r="17" spans="1:61" x14ac:dyDescent="0.25">
      <c r="A17" s="26">
        <v>2007</v>
      </c>
      <c r="B17" s="23"/>
      <c r="C17" s="9"/>
      <c r="D17" s="646">
        <f t="shared" si="0"/>
        <v>1.0256410256410258</v>
      </c>
      <c r="E17" s="648">
        <f t="shared" si="0"/>
        <v>0.83916083916083917</v>
      </c>
      <c r="F17" s="10"/>
      <c r="G17" s="9"/>
      <c r="H17" s="646">
        <f t="shared" si="1"/>
        <v>1.0714285714285714</v>
      </c>
      <c r="I17" s="648">
        <f t="shared" si="1"/>
        <v>0.77419354838709675</v>
      </c>
      <c r="J17" s="10"/>
      <c r="K17" s="9"/>
      <c r="L17" s="646">
        <f t="shared" si="2"/>
        <v>1.0909090909090908</v>
      </c>
      <c r="M17" s="648">
        <f t="shared" si="2"/>
        <v>0.80536912751677847</v>
      </c>
      <c r="N17" s="10"/>
      <c r="O17" s="9"/>
      <c r="P17" s="646">
        <f t="shared" si="3"/>
        <v>1.2</v>
      </c>
      <c r="Q17" s="648">
        <f t="shared" si="3"/>
        <v>0.86330935251798557</v>
      </c>
      <c r="S17" s="27"/>
      <c r="T17" s="7"/>
      <c r="U17" s="94"/>
      <c r="V17" s="652">
        <f t="shared" si="10"/>
        <v>1.026</v>
      </c>
      <c r="W17" s="653">
        <f t="shared" si="11"/>
        <v>0.83899999999999997</v>
      </c>
      <c r="X17" s="654">
        <f t="shared" si="11"/>
        <v>2.2000000000000002</v>
      </c>
      <c r="Y17" s="27"/>
      <c r="Z17" s="7"/>
      <c r="AA17" s="94"/>
      <c r="AB17" s="646">
        <f t="shared" si="12"/>
        <v>1.0909090909090908</v>
      </c>
      <c r="AC17" s="647">
        <f t="shared" si="4"/>
        <v>0.82199999999999995</v>
      </c>
      <c r="AD17" s="648">
        <f t="shared" si="4"/>
        <v>3.4</v>
      </c>
      <c r="AE17" s="27"/>
      <c r="AF17" s="7"/>
      <c r="AG17" s="94"/>
      <c r="AH17" s="646">
        <f t="shared" si="13"/>
        <v>1.1111111111111109</v>
      </c>
      <c r="AI17" s="647">
        <f t="shared" si="5"/>
        <v>0.83299999999999996</v>
      </c>
      <c r="AJ17" s="648">
        <f t="shared" si="5"/>
        <v>3.4</v>
      </c>
      <c r="AK17" s="27"/>
      <c r="AL17" s="7"/>
      <c r="AM17" s="94"/>
      <c r="AN17" s="646">
        <f t="shared" si="14"/>
        <v>1.1320754716981132</v>
      </c>
      <c r="AO17" s="647">
        <f t="shared" si="6"/>
        <v>0.86299999999999999</v>
      </c>
      <c r="AP17" s="648">
        <f t="shared" si="6"/>
        <v>3.3</v>
      </c>
      <c r="AQ17" s="27"/>
      <c r="AR17" s="7"/>
      <c r="AS17" s="94"/>
      <c r="AT17" s="646">
        <f t="shared" si="15"/>
        <v>1.1538461538461537</v>
      </c>
      <c r="AU17" s="647">
        <f t="shared" si="7"/>
        <v>0.876</v>
      </c>
      <c r="AV17" s="648">
        <f t="shared" si="7"/>
        <v>3.3</v>
      </c>
      <c r="AW17" s="27"/>
      <c r="AX17" s="7"/>
      <c r="AY17" s="94"/>
      <c r="AZ17" s="646">
        <f t="shared" si="16"/>
        <v>1.263157894736842</v>
      </c>
      <c r="BA17" s="647">
        <f t="shared" si="8"/>
        <v>0.94499999999999995</v>
      </c>
      <c r="BB17" s="648">
        <f t="shared" si="8"/>
        <v>3.2</v>
      </c>
      <c r="BC17" s="27"/>
      <c r="BD17" s="7"/>
      <c r="BE17" s="94"/>
      <c r="BF17" s="646">
        <f t="shared" si="17"/>
        <v>1.2903225806451613</v>
      </c>
      <c r="BG17" s="647">
        <f t="shared" si="9"/>
        <v>0.96</v>
      </c>
      <c r="BH17" s="648">
        <f t="shared" si="9"/>
        <v>3.2</v>
      </c>
      <c r="BI17" s="12"/>
    </row>
    <row r="18" spans="1:61" x14ac:dyDescent="0.25">
      <c r="A18" s="26">
        <v>2008</v>
      </c>
      <c r="B18" s="23"/>
      <c r="C18" s="9"/>
      <c r="D18" s="646">
        <f t="shared" si="0"/>
        <v>1.0256410256410258</v>
      </c>
      <c r="E18" s="648">
        <f t="shared" si="0"/>
        <v>0.83916083916083917</v>
      </c>
      <c r="F18" s="10"/>
      <c r="G18" s="9"/>
      <c r="H18" s="646">
        <f t="shared" si="1"/>
        <v>1.0714285714285714</v>
      </c>
      <c r="I18" s="648">
        <f t="shared" si="1"/>
        <v>0.77419354838709675</v>
      </c>
      <c r="J18" s="10"/>
      <c r="K18" s="9"/>
      <c r="L18" s="646">
        <f t="shared" si="2"/>
        <v>1.0909090909090908</v>
      </c>
      <c r="M18" s="648">
        <f t="shared" si="2"/>
        <v>0.80536912751677847</v>
      </c>
      <c r="N18" s="10"/>
      <c r="O18" s="9"/>
      <c r="P18" s="646">
        <f t="shared" si="3"/>
        <v>1.2</v>
      </c>
      <c r="Q18" s="648">
        <f t="shared" si="3"/>
        <v>0.86330935251798557</v>
      </c>
      <c r="S18" s="27"/>
      <c r="T18" s="7"/>
      <c r="U18" s="94"/>
      <c r="V18" s="652">
        <f t="shared" si="10"/>
        <v>1.026</v>
      </c>
      <c r="W18" s="653">
        <f t="shared" si="11"/>
        <v>0.83899999999999997</v>
      </c>
      <c r="X18" s="654">
        <f t="shared" si="11"/>
        <v>2.2000000000000002</v>
      </c>
      <c r="Y18" s="27"/>
      <c r="Z18" s="7"/>
      <c r="AA18" s="94"/>
      <c r="AB18" s="646">
        <f t="shared" si="12"/>
        <v>1.0909090909090908</v>
      </c>
      <c r="AC18" s="647">
        <f t="shared" si="4"/>
        <v>0.82199999999999995</v>
      </c>
      <c r="AD18" s="648">
        <f t="shared" si="4"/>
        <v>3.4</v>
      </c>
      <c r="AE18" s="27"/>
      <c r="AF18" s="7"/>
      <c r="AG18" s="94"/>
      <c r="AH18" s="646">
        <f t="shared" si="13"/>
        <v>1.1111111111111109</v>
      </c>
      <c r="AI18" s="647">
        <f t="shared" si="5"/>
        <v>0.83299999999999996</v>
      </c>
      <c r="AJ18" s="648">
        <f t="shared" si="5"/>
        <v>3.4</v>
      </c>
      <c r="AK18" s="27"/>
      <c r="AL18" s="7"/>
      <c r="AM18" s="94"/>
      <c r="AN18" s="646">
        <f t="shared" si="14"/>
        <v>1.1320754716981132</v>
      </c>
      <c r="AO18" s="647">
        <f t="shared" si="6"/>
        <v>0.86299999999999999</v>
      </c>
      <c r="AP18" s="648">
        <f t="shared" si="6"/>
        <v>3.3</v>
      </c>
      <c r="AQ18" s="27"/>
      <c r="AR18" s="7"/>
      <c r="AS18" s="94"/>
      <c r="AT18" s="646">
        <f t="shared" si="15"/>
        <v>1.1538461538461537</v>
      </c>
      <c r="AU18" s="647">
        <f t="shared" si="7"/>
        <v>0.876</v>
      </c>
      <c r="AV18" s="648">
        <f t="shared" si="7"/>
        <v>3.3</v>
      </c>
      <c r="AW18" s="27"/>
      <c r="AX18" s="7"/>
      <c r="AY18" s="94"/>
      <c r="AZ18" s="646">
        <f t="shared" si="16"/>
        <v>1.263157894736842</v>
      </c>
      <c r="BA18" s="647">
        <f t="shared" si="8"/>
        <v>0.94499999999999995</v>
      </c>
      <c r="BB18" s="648">
        <f t="shared" si="8"/>
        <v>3.2</v>
      </c>
      <c r="BC18" s="27"/>
      <c r="BD18" s="7"/>
      <c r="BE18" s="94"/>
      <c r="BF18" s="646">
        <f t="shared" si="17"/>
        <v>1.2903225806451613</v>
      </c>
      <c r="BG18" s="647">
        <f t="shared" si="9"/>
        <v>0.96</v>
      </c>
      <c r="BH18" s="648">
        <f t="shared" si="9"/>
        <v>3.2</v>
      </c>
      <c r="BI18" s="12"/>
    </row>
    <row r="19" spans="1:61" x14ac:dyDescent="0.25">
      <c r="A19" s="26">
        <v>2009</v>
      </c>
      <c r="B19" s="23"/>
      <c r="C19" s="9"/>
      <c r="D19" s="646">
        <f t="shared" si="0"/>
        <v>1.0256410256410258</v>
      </c>
      <c r="E19" s="648">
        <f t="shared" si="0"/>
        <v>0.83916083916083917</v>
      </c>
      <c r="F19" s="10"/>
      <c r="G19" s="9"/>
      <c r="H19" s="646">
        <f t="shared" si="1"/>
        <v>1.0714285714285714</v>
      </c>
      <c r="I19" s="648">
        <f t="shared" si="1"/>
        <v>0.77419354838709675</v>
      </c>
      <c r="J19" s="10"/>
      <c r="K19" s="9"/>
      <c r="L19" s="646">
        <f t="shared" si="2"/>
        <v>1.0909090909090908</v>
      </c>
      <c r="M19" s="648">
        <f t="shared" si="2"/>
        <v>0.80536912751677847</v>
      </c>
      <c r="N19" s="10"/>
      <c r="O19" s="9"/>
      <c r="P19" s="646">
        <f t="shared" si="3"/>
        <v>1.2</v>
      </c>
      <c r="Q19" s="648">
        <f t="shared" si="3"/>
        <v>0.86330935251798557</v>
      </c>
      <c r="S19" s="27"/>
      <c r="T19" s="7"/>
      <c r="U19" s="94"/>
      <c r="V19" s="652">
        <f t="shared" si="10"/>
        <v>1.026</v>
      </c>
      <c r="W19" s="653">
        <f t="shared" si="11"/>
        <v>0.83899999999999997</v>
      </c>
      <c r="X19" s="654">
        <f t="shared" si="11"/>
        <v>2.2000000000000002</v>
      </c>
      <c r="Y19" s="27"/>
      <c r="Z19" s="7"/>
      <c r="AA19" s="94"/>
      <c r="AB19" s="646">
        <f t="shared" si="12"/>
        <v>1.0909090909090908</v>
      </c>
      <c r="AC19" s="647">
        <f t="shared" si="4"/>
        <v>0.82199999999999995</v>
      </c>
      <c r="AD19" s="648">
        <f t="shared" si="4"/>
        <v>3.4</v>
      </c>
      <c r="AE19" s="27"/>
      <c r="AF19" s="7"/>
      <c r="AG19" s="94"/>
      <c r="AH19" s="646">
        <f t="shared" si="13"/>
        <v>1.1111111111111109</v>
      </c>
      <c r="AI19" s="647">
        <f t="shared" si="5"/>
        <v>0.83299999999999996</v>
      </c>
      <c r="AJ19" s="648">
        <f t="shared" si="5"/>
        <v>3.4</v>
      </c>
      <c r="AK19" s="27"/>
      <c r="AL19" s="7"/>
      <c r="AM19" s="94"/>
      <c r="AN19" s="646">
        <f t="shared" si="14"/>
        <v>1.1320754716981132</v>
      </c>
      <c r="AO19" s="647">
        <f t="shared" si="6"/>
        <v>0.86299999999999999</v>
      </c>
      <c r="AP19" s="648">
        <f t="shared" si="6"/>
        <v>3.3</v>
      </c>
      <c r="AQ19" s="27"/>
      <c r="AR19" s="7"/>
      <c r="AS19" s="94"/>
      <c r="AT19" s="646">
        <f t="shared" si="15"/>
        <v>1.1538461538461537</v>
      </c>
      <c r="AU19" s="647">
        <f t="shared" si="7"/>
        <v>0.876</v>
      </c>
      <c r="AV19" s="648">
        <f t="shared" si="7"/>
        <v>3.3</v>
      </c>
      <c r="AW19" s="27"/>
      <c r="AX19" s="7"/>
      <c r="AY19" s="94"/>
      <c r="AZ19" s="646">
        <f t="shared" si="16"/>
        <v>1.263157894736842</v>
      </c>
      <c r="BA19" s="647">
        <f t="shared" si="8"/>
        <v>0.94499999999999995</v>
      </c>
      <c r="BB19" s="648">
        <f t="shared" si="8"/>
        <v>3.2</v>
      </c>
      <c r="BC19" s="27"/>
      <c r="BD19" s="7"/>
      <c r="BE19" s="94"/>
      <c r="BF19" s="646">
        <f t="shared" si="17"/>
        <v>1.2903225806451613</v>
      </c>
      <c r="BG19" s="647">
        <f t="shared" si="9"/>
        <v>0.96</v>
      </c>
      <c r="BH19" s="648">
        <f t="shared" si="9"/>
        <v>3.2</v>
      </c>
      <c r="BI19" s="12"/>
    </row>
    <row r="20" spans="1:61" x14ac:dyDescent="0.25">
      <c r="A20" s="26">
        <v>2010</v>
      </c>
      <c r="B20" s="23"/>
      <c r="C20" s="9"/>
      <c r="D20" s="646">
        <f t="shared" si="0"/>
        <v>1.0256410256410258</v>
      </c>
      <c r="E20" s="648">
        <f t="shared" si="0"/>
        <v>0.83916083916083917</v>
      </c>
      <c r="F20" s="10"/>
      <c r="G20" s="9"/>
      <c r="H20" s="646">
        <f t="shared" si="1"/>
        <v>1.0714285714285714</v>
      </c>
      <c r="I20" s="648">
        <f t="shared" si="1"/>
        <v>0.77419354838709675</v>
      </c>
      <c r="J20" s="10"/>
      <c r="K20" s="9"/>
      <c r="L20" s="646">
        <f t="shared" si="2"/>
        <v>1.0909090909090908</v>
      </c>
      <c r="M20" s="648">
        <f t="shared" si="2"/>
        <v>0.80536912751677847</v>
      </c>
      <c r="N20" s="10"/>
      <c r="O20" s="9"/>
      <c r="P20" s="646">
        <f t="shared" si="3"/>
        <v>1.2</v>
      </c>
      <c r="Q20" s="648">
        <f t="shared" si="3"/>
        <v>0.86330935251798557</v>
      </c>
      <c r="S20" s="27"/>
      <c r="T20" s="7"/>
      <c r="U20" s="94"/>
      <c r="V20" s="652">
        <f t="shared" si="10"/>
        <v>1.026</v>
      </c>
      <c r="W20" s="653">
        <f t="shared" si="11"/>
        <v>0.83899999999999997</v>
      </c>
      <c r="X20" s="654">
        <f t="shared" si="11"/>
        <v>2.2000000000000002</v>
      </c>
      <c r="Y20" s="27"/>
      <c r="Z20" s="7"/>
      <c r="AA20" s="94"/>
      <c r="AB20" s="646">
        <f t="shared" si="12"/>
        <v>1.0909090909090908</v>
      </c>
      <c r="AC20" s="647">
        <f t="shared" si="4"/>
        <v>0.82199999999999995</v>
      </c>
      <c r="AD20" s="648">
        <f t="shared" si="4"/>
        <v>3.4</v>
      </c>
      <c r="AE20" s="27"/>
      <c r="AF20" s="7"/>
      <c r="AG20" s="94"/>
      <c r="AH20" s="646">
        <f t="shared" si="13"/>
        <v>1.1111111111111109</v>
      </c>
      <c r="AI20" s="647">
        <f t="shared" si="5"/>
        <v>0.83299999999999996</v>
      </c>
      <c r="AJ20" s="648">
        <f t="shared" si="5"/>
        <v>3.4</v>
      </c>
      <c r="AK20" s="27"/>
      <c r="AL20" s="7"/>
      <c r="AM20" s="94"/>
      <c r="AN20" s="646">
        <f t="shared" si="14"/>
        <v>1.1320754716981132</v>
      </c>
      <c r="AO20" s="647">
        <f t="shared" si="6"/>
        <v>0.86299999999999999</v>
      </c>
      <c r="AP20" s="648">
        <f t="shared" si="6"/>
        <v>3.3</v>
      </c>
      <c r="AQ20" s="27"/>
      <c r="AR20" s="7"/>
      <c r="AS20" s="94"/>
      <c r="AT20" s="646">
        <f t="shared" si="15"/>
        <v>1.1538461538461537</v>
      </c>
      <c r="AU20" s="647">
        <f t="shared" si="7"/>
        <v>0.876</v>
      </c>
      <c r="AV20" s="648">
        <f t="shared" si="7"/>
        <v>3.3</v>
      </c>
      <c r="AW20" s="27"/>
      <c r="AX20" s="7"/>
      <c r="AY20" s="94"/>
      <c r="AZ20" s="646">
        <f t="shared" si="16"/>
        <v>1.263157894736842</v>
      </c>
      <c r="BA20" s="647">
        <f t="shared" si="8"/>
        <v>0.94499999999999995</v>
      </c>
      <c r="BB20" s="648">
        <f t="shared" si="8"/>
        <v>3.2</v>
      </c>
      <c r="BC20" s="27"/>
      <c r="BD20" s="7"/>
      <c r="BE20" s="94"/>
      <c r="BF20" s="646">
        <f t="shared" si="17"/>
        <v>1.2903225806451613</v>
      </c>
      <c r="BG20" s="647">
        <f t="shared" si="9"/>
        <v>0.96</v>
      </c>
      <c r="BH20" s="648">
        <f t="shared" si="9"/>
        <v>3.2</v>
      </c>
      <c r="BI20" s="12"/>
    </row>
    <row r="21" spans="1:61" x14ac:dyDescent="0.25">
      <c r="A21" s="26">
        <v>2011</v>
      </c>
      <c r="B21" s="23"/>
      <c r="C21" s="9"/>
      <c r="D21" s="646">
        <f t="shared" si="0"/>
        <v>1.0256410256410258</v>
      </c>
      <c r="E21" s="648">
        <f t="shared" si="0"/>
        <v>0.83916083916083917</v>
      </c>
      <c r="F21" s="10"/>
      <c r="G21" s="9"/>
      <c r="H21" s="646">
        <f t="shared" si="1"/>
        <v>1.0714285714285714</v>
      </c>
      <c r="I21" s="648">
        <f t="shared" si="1"/>
        <v>0.77419354838709675</v>
      </c>
      <c r="J21" s="10"/>
      <c r="K21" s="9"/>
      <c r="L21" s="646">
        <f t="shared" si="2"/>
        <v>1.0909090909090908</v>
      </c>
      <c r="M21" s="648">
        <f t="shared" si="2"/>
        <v>0.80536912751677847</v>
      </c>
      <c r="N21" s="10"/>
      <c r="O21" s="9"/>
      <c r="P21" s="646">
        <f t="shared" si="3"/>
        <v>1.2</v>
      </c>
      <c r="Q21" s="648">
        <f t="shared" si="3"/>
        <v>0.86330935251798557</v>
      </c>
      <c r="S21" s="27"/>
      <c r="T21" s="7"/>
      <c r="U21" s="94"/>
      <c r="V21" s="652">
        <f t="shared" si="10"/>
        <v>1.026</v>
      </c>
      <c r="W21" s="653">
        <f t="shared" si="11"/>
        <v>0.83899999999999997</v>
      </c>
      <c r="X21" s="654">
        <f t="shared" si="11"/>
        <v>2.2000000000000002</v>
      </c>
      <c r="Y21" s="27"/>
      <c r="Z21" s="7"/>
      <c r="AA21" s="94"/>
      <c r="AB21" s="646">
        <f t="shared" si="12"/>
        <v>1.0909090909090908</v>
      </c>
      <c r="AC21" s="647">
        <f t="shared" si="4"/>
        <v>0.82199999999999995</v>
      </c>
      <c r="AD21" s="648">
        <f t="shared" si="4"/>
        <v>3.4</v>
      </c>
      <c r="AE21" s="27"/>
      <c r="AF21" s="7"/>
      <c r="AG21" s="94"/>
      <c r="AH21" s="646">
        <f t="shared" si="13"/>
        <v>1.1111111111111109</v>
      </c>
      <c r="AI21" s="647">
        <f t="shared" si="5"/>
        <v>0.83299999999999996</v>
      </c>
      <c r="AJ21" s="648">
        <f t="shared" si="5"/>
        <v>3.4</v>
      </c>
      <c r="AK21" s="27"/>
      <c r="AL21" s="7"/>
      <c r="AM21" s="94"/>
      <c r="AN21" s="646">
        <f t="shared" si="14"/>
        <v>1.1320754716981132</v>
      </c>
      <c r="AO21" s="647">
        <f t="shared" si="6"/>
        <v>0.86299999999999999</v>
      </c>
      <c r="AP21" s="648">
        <f t="shared" si="6"/>
        <v>3.3</v>
      </c>
      <c r="AQ21" s="27"/>
      <c r="AR21" s="7"/>
      <c r="AS21" s="94"/>
      <c r="AT21" s="646">
        <f t="shared" si="15"/>
        <v>1.1538461538461537</v>
      </c>
      <c r="AU21" s="647">
        <f t="shared" si="7"/>
        <v>0.876</v>
      </c>
      <c r="AV21" s="648">
        <f t="shared" si="7"/>
        <v>3.3</v>
      </c>
      <c r="AW21" s="27"/>
      <c r="AX21" s="7"/>
      <c r="AY21" s="94"/>
      <c r="AZ21" s="646">
        <f t="shared" si="16"/>
        <v>1.263157894736842</v>
      </c>
      <c r="BA21" s="647">
        <f t="shared" si="8"/>
        <v>0.94499999999999995</v>
      </c>
      <c r="BB21" s="648">
        <f t="shared" si="8"/>
        <v>3.2</v>
      </c>
      <c r="BC21" s="27"/>
      <c r="BD21" s="7"/>
      <c r="BE21" s="94"/>
      <c r="BF21" s="646">
        <f t="shared" si="17"/>
        <v>1.2903225806451613</v>
      </c>
      <c r="BG21" s="647">
        <f t="shared" si="9"/>
        <v>0.96</v>
      </c>
      <c r="BH21" s="648">
        <f t="shared" si="9"/>
        <v>3.2</v>
      </c>
      <c r="BI21" s="12"/>
    </row>
    <row r="22" spans="1:61" x14ac:dyDescent="0.25">
      <c r="A22" s="26">
        <v>2012</v>
      </c>
      <c r="B22" s="23"/>
      <c r="C22" s="9"/>
      <c r="D22" s="646">
        <f t="shared" si="0"/>
        <v>1.0256410256410258</v>
      </c>
      <c r="E22" s="648">
        <f t="shared" si="0"/>
        <v>0.83916083916083917</v>
      </c>
      <c r="F22" s="10"/>
      <c r="G22" s="9"/>
      <c r="H22" s="646">
        <f t="shared" si="1"/>
        <v>1.0714285714285714</v>
      </c>
      <c r="I22" s="648">
        <f t="shared" si="1"/>
        <v>0.77419354838709675</v>
      </c>
      <c r="J22" s="10"/>
      <c r="K22" s="9"/>
      <c r="L22" s="646">
        <f t="shared" si="2"/>
        <v>1.0909090909090908</v>
      </c>
      <c r="M22" s="648">
        <f t="shared" si="2"/>
        <v>0.80536912751677847</v>
      </c>
      <c r="N22" s="10"/>
      <c r="O22" s="9"/>
      <c r="P22" s="646">
        <f t="shared" si="3"/>
        <v>1.2</v>
      </c>
      <c r="Q22" s="648">
        <f t="shared" si="3"/>
        <v>0.86330935251798557</v>
      </c>
      <c r="S22" s="27"/>
      <c r="T22" s="7"/>
      <c r="U22" s="94"/>
      <c r="V22" s="652">
        <f t="shared" si="10"/>
        <v>1.026</v>
      </c>
      <c r="W22" s="653">
        <f t="shared" si="11"/>
        <v>0.83899999999999997</v>
      </c>
      <c r="X22" s="654">
        <f t="shared" si="11"/>
        <v>2.2000000000000002</v>
      </c>
      <c r="Y22" s="27"/>
      <c r="Z22" s="7"/>
      <c r="AA22" s="94"/>
      <c r="AB22" s="646">
        <f t="shared" si="12"/>
        <v>1.0909090909090908</v>
      </c>
      <c r="AC22" s="647">
        <f t="shared" si="4"/>
        <v>0.82199999999999995</v>
      </c>
      <c r="AD22" s="648">
        <f t="shared" si="4"/>
        <v>3.4</v>
      </c>
      <c r="AE22" s="27"/>
      <c r="AF22" s="7"/>
      <c r="AG22" s="94"/>
      <c r="AH22" s="646">
        <f t="shared" si="13"/>
        <v>1.1111111111111109</v>
      </c>
      <c r="AI22" s="647">
        <f t="shared" si="5"/>
        <v>0.83299999999999996</v>
      </c>
      <c r="AJ22" s="648">
        <f t="shared" si="5"/>
        <v>3.4</v>
      </c>
      <c r="AK22" s="27"/>
      <c r="AL22" s="7"/>
      <c r="AM22" s="94"/>
      <c r="AN22" s="646">
        <f t="shared" si="14"/>
        <v>1.1320754716981132</v>
      </c>
      <c r="AO22" s="647">
        <f t="shared" si="6"/>
        <v>0.86299999999999999</v>
      </c>
      <c r="AP22" s="648">
        <f t="shared" si="6"/>
        <v>3.3</v>
      </c>
      <c r="AQ22" s="27"/>
      <c r="AR22" s="7"/>
      <c r="AS22" s="94"/>
      <c r="AT22" s="646">
        <f t="shared" si="15"/>
        <v>1.1538461538461537</v>
      </c>
      <c r="AU22" s="647">
        <f t="shared" si="7"/>
        <v>0.876</v>
      </c>
      <c r="AV22" s="648">
        <f t="shared" si="7"/>
        <v>3.3</v>
      </c>
      <c r="AW22" s="27"/>
      <c r="AX22" s="7"/>
      <c r="AY22" s="94"/>
      <c r="AZ22" s="646">
        <f t="shared" si="16"/>
        <v>1.263157894736842</v>
      </c>
      <c r="BA22" s="647">
        <f t="shared" si="8"/>
        <v>0.94499999999999995</v>
      </c>
      <c r="BB22" s="648">
        <f t="shared" si="8"/>
        <v>3.2</v>
      </c>
      <c r="BC22" s="27"/>
      <c r="BD22" s="7"/>
      <c r="BE22" s="94"/>
      <c r="BF22" s="646">
        <f t="shared" si="17"/>
        <v>1.2903225806451613</v>
      </c>
      <c r="BG22" s="647">
        <f t="shared" si="9"/>
        <v>0.96</v>
      </c>
      <c r="BH22" s="648">
        <f t="shared" si="9"/>
        <v>3.2</v>
      </c>
      <c r="BI22" s="12"/>
    </row>
    <row r="23" spans="1:61" x14ac:dyDescent="0.25">
      <c r="A23" s="26">
        <v>2013</v>
      </c>
      <c r="B23" s="23"/>
      <c r="C23" s="9"/>
      <c r="D23" s="646">
        <f t="shared" si="0"/>
        <v>1.0256410256410258</v>
      </c>
      <c r="E23" s="648">
        <f t="shared" si="0"/>
        <v>0.83916083916083917</v>
      </c>
      <c r="F23" s="10"/>
      <c r="G23" s="9"/>
      <c r="H23" s="646">
        <f t="shared" si="1"/>
        <v>1.0714285714285714</v>
      </c>
      <c r="I23" s="648">
        <f t="shared" si="1"/>
        <v>0.77419354838709675</v>
      </c>
      <c r="J23" s="10"/>
      <c r="K23" s="9"/>
      <c r="L23" s="646">
        <f t="shared" si="2"/>
        <v>1.0909090909090908</v>
      </c>
      <c r="M23" s="648">
        <f t="shared" si="2"/>
        <v>0.80536912751677847</v>
      </c>
      <c r="N23" s="10"/>
      <c r="O23" s="9"/>
      <c r="P23" s="646">
        <f t="shared" si="3"/>
        <v>1.2</v>
      </c>
      <c r="Q23" s="648">
        <f t="shared" si="3"/>
        <v>0.86330935251798557</v>
      </c>
      <c r="S23" s="27"/>
      <c r="T23" s="7"/>
      <c r="U23" s="94"/>
      <c r="V23" s="652">
        <f t="shared" si="10"/>
        <v>1.026</v>
      </c>
      <c r="W23" s="653">
        <f t="shared" si="11"/>
        <v>0.83899999999999997</v>
      </c>
      <c r="X23" s="654">
        <f t="shared" si="11"/>
        <v>2.2000000000000002</v>
      </c>
      <c r="Y23" s="27"/>
      <c r="Z23" s="7"/>
      <c r="AA23" s="94"/>
      <c r="AB23" s="646">
        <f t="shared" si="12"/>
        <v>1.0909090909090908</v>
      </c>
      <c r="AC23" s="647">
        <f t="shared" si="12"/>
        <v>0.82199999999999995</v>
      </c>
      <c r="AD23" s="648">
        <f t="shared" si="12"/>
        <v>3.4</v>
      </c>
      <c r="AE23" s="27"/>
      <c r="AF23" s="7"/>
      <c r="AG23" s="94"/>
      <c r="AH23" s="646">
        <f t="shared" si="13"/>
        <v>1.1111111111111109</v>
      </c>
      <c r="AI23" s="647">
        <f t="shared" si="13"/>
        <v>0.83299999999999996</v>
      </c>
      <c r="AJ23" s="648">
        <f t="shared" si="13"/>
        <v>3.4</v>
      </c>
      <c r="AK23" s="27"/>
      <c r="AL23" s="7"/>
      <c r="AM23" s="94"/>
      <c r="AN23" s="646">
        <f t="shared" si="14"/>
        <v>1.1320754716981132</v>
      </c>
      <c r="AO23" s="647">
        <f t="shared" si="14"/>
        <v>0.86299999999999999</v>
      </c>
      <c r="AP23" s="648">
        <f t="shared" si="14"/>
        <v>3.3</v>
      </c>
      <c r="AQ23" s="27"/>
      <c r="AR23" s="7"/>
      <c r="AS23" s="94"/>
      <c r="AT23" s="646">
        <f t="shared" si="15"/>
        <v>1.1538461538461537</v>
      </c>
      <c r="AU23" s="647">
        <f t="shared" si="15"/>
        <v>0.876</v>
      </c>
      <c r="AV23" s="648">
        <f t="shared" si="15"/>
        <v>3.3</v>
      </c>
      <c r="AW23" s="27"/>
      <c r="AX23" s="7"/>
      <c r="AY23" s="94"/>
      <c r="AZ23" s="646">
        <f t="shared" si="16"/>
        <v>1.263157894736842</v>
      </c>
      <c r="BA23" s="647">
        <f t="shared" si="16"/>
        <v>0.94499999999999995</v>
      </c>
      <c r="BB23" s="648">
        <f t="shared" si="16"/>
        <v>3.2</v>
      </c>
      <c r="BC23" s="27"/>
      <c r="BD23" s="7"/>
      <c r="BE23" s="94"/>
      <c r="BF23" s="646">
        <f t="shared" si="17"/>
        <v>1.2903225806451613</v>
      </c>
      <c r="BG23" s="647">
        <f t="shared" si="17"/>
        <v>0.96</v>
      </c>
      <c r="BH23" s="648">
        <f t="shared" si="17"/>
        <v>3.2</v>
      </c>
      <c r="BI23" s="12"/>
    </row>
    <row r="24" spans="1:61" x14ac:dyDescent="0.25">
      <c r="A24" s="26">
        <v>2014</v>
      </c>
      <c r="B24" s="23"/>
      <c r="C24" s="9"/>
      <c r="D24" s="646">
        <f t="shared" si="0"/>
        <v>1.0256410256410258</v>
      </c>
      <c r="E24" s="648">
        <f t="shared" si="0"/>
        <v>0.83916083916083917</v>
      </c>
      <c r="F24" s="11"/>
      <c r="G24" s="9"/>
      <c r="H24" s="646">
        <f t="shared" si="1"/>
        <v>1.0714285714285714</v>
      </c>
      <c r="I24" s="648">
        <f t="shared" si="1"/>
        <v>0.77419354838709675</v>
      </c>
      <c r="J24" s="10"/>
      <c r="K24" s="13"/>
      <c r="L24" s="646">
        <f t="shared" si="2"/>
        <v>1.0909090909090908</v>
      </c>
      <c r="M24" s="648">
        <f t="shared" si="2"/>
        <v>0.80536912751677847</v>
      </c>
      <c r="N24" s="10"/>
      <c r="O24" s="13"/>
      <c r="P24" s="646">
        <f t="shared" si="3"/>
        <v>1.2</v>
      </c>
      <c r="Q24" s="648">
        <f t="shared" si="3"/>
        <v>0.86330935251798557</v>
      </c>
      <c r="S24" s="27"/>
      <c r="T24" s="7"/>
      <c r="U24" s="94"/>
      <c r="V24" s="652">
        <f t="shared" si="10"/>
        <v>1.026</v>
      </c>
      <c r="W24" s="653">
        <f t="shared" si="11"/>
        <v>0.83899999999999997</v>
      </c>
      <c r="X24" s="654">
        <f t="shared" si="11"/>
        <v>2.2000000000000002</v>
      </c>
      <c r="Y24" s="27"/>
      <c r="Z24" s="7"/>
      <c r="AA24" s="94"/>
      <c r="AB24" s="646">
        <f t="shared" si="12"/>
        <v>1.0909090909090908</v>
      </c>
      <c r="AC24" s="647">
        <f t="shared" si="12"/>
        <v>0.82199999999999995</v>
      </c>
      <c r="AD24" s="648">
        <f t="shared" si="12"/>
        <v>3.4</v>
      </c>
      <c r="AE24" s="27"/>
      <c r="AF24" s="7"/>
      <c r="AG24" s="94"/>
      <c r="AH24" s="646">
        <f t="shared" si="13"/>
        <v>1.1111111111111109</v>
      </c>
      <c r="AI24" s="647">
        <f t="shared" si="13"/>
        <v>0.83299999999999996</v>
      </c>
      <c r="AJ24" s="648">
        <f t="shared" si="13"/>
        <v>3.4</v>
      </c>
      <c r="AK24" s="27"/>
      <c r="AL24" s="7"/>
      <c r="AM24" s="94"/>
      <c r="AN24" s="646">
        <f t="shared" si="14"/>
        <v>1.1320754716981132</v>
      </c>
      <c r="AO24" s="647">
        <f t="shared" si="14"/>
        <v>0.86299999999999999</v>
      </c>
      <c r="AP24" s="648">
        <f t="shared" si="14"/>
        <v>3.3</v>
      </c>
      <c r="AQ24" s="27"/>
      <c r="AR24" s="7"/>
      <c r="AS24" s="94"/>
      <c r="AT24" s="646">
        <f t="shared" si="15"/>
        <v>1.1538461538461537</v>
      </c>
      <c r="AU24" s="647">
        <f t="shared" si="15"/>
        <v>0.876</v>
      </c>
      <c r="AV24" s="648">
        <f t="shared" si="15"/>
        <v>3.3</v>
      </c>
      <c r="AW24" s="27"/>
      <c r="AX24" s="7"/>
      <c r="AY24" s="94"/>
      <c r="AZ24" s="646">
        <f t="shared" si="16"/>
        <v>1.263157894736842</v>
      </c>
      <c r="BA24" s="647">
        <f t="shared" si="16"/>
        <v>0.94499999999999995</v>
      </c>
      <c r="BB24" s="648">
        <f t="shared" si="16"/>
        <v>3.2</v>
      </c>
      <c r="BC24" s="27"/>
      <c r="BD24" s="7"/>
      <c r="BE24" s="94"/>
      <c r="BF24" s="646">
        <f t="shared" si="17"/>
        <v>1.2903225806451613</v>
      </c>
      <c r="BG24" s="647">
        <f t="shared" si="17"/>
        <v>0.96</v>
      </c>
      <c r="BH24" s="648">
        <f t="shared" si="17"/>
        <v>3.2</v>
      </c>
      <c r="BI24" s="12"/>
    </row>
    <row r="25" spans="1:61" x14ac:dyDescent="0.25">
      <c r="A25" s="26">
        <v>2015</v>
      </c>
      <c r="B25" s="23"/>
      <c r="C25" s="9"/>
      <c r="D25" s="646">
        <f t="shared" si="0"/>
        <v>1.0256410256410258</v>
      </c>
      <c r="E25" s="648">
        <f t="shared" si="0"/>
        <v>0.83916083916083917</v>
      </c>
      <c r="F25" s="11"/>
      <c r="G25" s="9"/>
      <c r="H25" s="646">
        <f t="shared" si="1"/>
        <v>1.0714285714285714</v>
      </c>
      <c r="I25" s="648">
        <f t="shared" si="1"/>
        <v>0.77419354838709675</v>
      </c>
      <c r="J25" s="10"/>
      <c r="K25" s="13"/>
      <c r="L25" s="646">
        <f t="shared" si="2"/>
        <v>1.0909090909090908</v>
      </c>
      <c r="M25" s="648">
        <f t="shared" si="2"/>
        <v>0.80536912751677847</v>
      </c>
      <c r="N25" s="10"/>
      <c r="O25" s="13"/>
      <c r="P25" s="646">
        <f t="shared" si="3"/>
        <v>1.2</v>
      </c>
      <c r="Q25" s="648">
        <f t="shared" si="3"/>
        <v>0.86330935251798557</v>
      </c>
      <c r="S25" s="27"/>
      <c r="T25" s="7"/>
      <c r="U25" s="94"/>
      <c r="V25" s="652">
        <f t="shared" si="10"/>
        <v>1.026</v>
      </c>
      <c r="W25" s="653">
        <f t="shared" si="11"/>
        <v>0.83899999999999997</v>
      </c>
      <c r="X25" s="654">
        <f t="shared" si="11"/>
        <v>2.2000000000000002</v>
      </c>
      <c r="Y25" s="27"/>
      <c r="Z25" s="7"/>
      <c r="AA25" s="94"/>
      <c r="AB25" s="646">
        <f t="shared" si="12"/>
        <v>1.0909090909090908</v>
      </c>
      <c r="AC25" s="647">
        <f t="shared" si="12"/>
        <v>0.82199999999999995</v>
      </c>
      <c r="AD25" s="648">
        <f t="shared" si="12"/>
        <v>3.4</v>
      </c>
      <c r="AE25" s="27"/>
      <c r="AF25" s="7"/>
      <c r="AG25" s="94"/>
      <c r="AH25" s="646">
        <f t="shared" si="13"/>
        <v>1.1111111111111109</v>
      </c>
      <c r="AI25" s="647">
        <f t="shared" si="13"/>
        <v>0.83299999999999996</v>
      </c>
      <c r="AJ25" s="648">
        <f t="shared" si="13"/>
        <v>3.4</v>
      </c>
      <c r="AK25" s="27"/>
      <c r="AL25" s="7"/>
      <c r="AM25" s="94"/>
      <c r="AN25" s="646">
        <f t="shared" si="14"/>
        <v>1.1320754716981132</v>
      </c>
      <c r="AO25" s="647">
        <f t="shared" si="14"/>
        <v>0.86299999999999999</v>
      </c>
      <c r="AP25" s="648">
        <f t="shared" si="14"/>
        <v>3.3</v>
      </c>
      <c r="AQ25" s="27"/>
      <c r="AR25" s="7"/>
      <c r="AS25" s="94"/>
      <c r="AT25" s="646">
        <f t="shared" si="15"/>
        <v>1.1538461538461537</v>
      </c>
      <c r="AU25" s="647">
        <f t="shared" si="15"/>
        <v>0.876</v>
      </c>
      <c r="AV25" s="648">
        <f t="shared" si="15"/>
        <v>3.3</v>
      </c>
      <c r="AW25" s="27"/>
      <c r="AX25" s="7"/>
      <c r="AY25" s="94"/>
      <c r="AZ25" s="646">
        <f t="shared" si="16"/>
        <v>1.263157894736842</v>
      </c>
      <c r="BA25" s="647">
        <f t="shared" si="16"/>
        <v>0.94499999999999995</v>
      </c>
      <c r="BB25" s="648">
        <f t="shared" si="16"/>
        <v>3.2</v>
      </c>
      <c r="BC25" s="27"/>
      <c r="BD25" s="7"/>
      <c r="BE25" s="94"/>
      <c r="BF25" s="646">
        <f t="shared" si="17"/>
        <v>1.2903225806451613</v>
      </c>
      <c r="BG25" s="647">
        <f t="shared" si="17"/>
        <v>0.96</v>
      </c>
      <c r="BH25" s="648">
        <f t="shared" si="17"/>
        <v>3.2</v>
      </c>
      <c r="BI25" s="12"/>
    </row>
    <row r="26" spans="1:61" x14ac:dyDescent="0.25">
      <c r="A26" s="26">
        <v>2016</v>
      </c>
      <c r="B26" s="23"/>
      <c r="C26" s="9"/>
      <c r="D26" s="646">
        <f t="shared" si="0"/>
        <v>1.0256410256410258</v>
      </c>
      <c r="E26" s="648">
        <f t="shared" si="0"/>
        <v>0.83916083916083917</v>
      </c>
      <c r="F26" s="11"/>
      <c r="G26" s="9"/>
      <c r="H26" s="646">
        <f t="shared" si="1"/>
        <v>1.0714285714285714</v>
      </c>
      <c r="I26" s="648">
        <f t="shared" si="1"/>
        <v>0.77419354838709675</v>
      </c>
      <c r="J26" s="10"/>
      <c r="K26" s="13"/>
      <c r="L26" s="646">
        <f t="shared" si="2"/>
        <v>1.0909090909090908</v>
      </c>
      <c r="M26" s="648">
        <f t="shared" si="2"/>
        <v>0.80536912751677847</v>
      </c>
      <c r="N26" s="10"/>
      <c r="O26" s="13"/>
      <c r="P26" s="646">
        <f t="shared" si="3"/>
        <v>1.2</v>
      </c>
      <c r="Q26" s="648">
        <f t="shared" si="3"/>
        <v>0.86330935251798557</v>
      </c>
      <c r="S26" s="27"/>
      <c r="T26" s="7"/>
      <c r="U26" s="94"/>
      <c r="V26" s="652">
        <f t="shared" si="10"/>
        <v>1.026</v>
      </c>
      <c r="W26" s="653">
        <f t="shared" si="11"/>
        <v>0.83899999999999997</v>
      </c>
      <c r="X26" s="654">
        <f t="shared" si="11"/>
        <v>2.2000000000000002</v>
      </c>
      <c r="Y26" s="27"/>
      <c r="Z26" s="7"/>
      <c r="AA26" s="94"/>
      <c r="AB26" s="646">
        <f t="shared" si="12"/>
        <v>1.0909090909090908</v>
      </c>
      <c r="AC26" s="647">
        <f t="shared" si="12"/>
        <v>0.82199999999999995</v>
      </c>
      <c r="AD26" s="648">
        <f t="shared" si="12"/>
        <v>3.4</v>
      </c>
      <c r="AE26" s="27"/>
      <c r="AF26" s="7"/>
      <c r="AG26" s="94"/>
      <c r="AH26" s="646">
        <f t="shared" si="13"/>
        <v>1.1111111111111109</v>
      </c>
      <c r="AI26" s="647">
        <f t="shared" si="13"/>
        <v>0.83299999999999996</v>
      </c>
      <c r="AJ26" s="648">
        <f t="shared" si="13"/>
        <v>3.4</v>
      </c>
      <c r="AK26" s="27"/>
      <c r="AL26" s="7"/>
      <c r="AM26" s="94"/>
      <c r="AN26" s="646">
        <f t="shared" si="14"/>
        <v>1.1320754716981132</v>
      </c>
      <c r="AO26" s="647">
        <f t="shared" si="14"/>
        <v>0.86299999999999999</v>
      </c>
      <c r="AP26" s="648">
        <f t="shared" si="14"/>
        <v>3.3</v>
      </c>
      <c r="AQ26" s="27"/>
      <c r="AR26" s="7"/>
      <c r="AS26" s="94"/>
      <c r="AT26" s="646">
        <f t="shared" si="15"/>
        <v>1.1538461538461537</v>
      </c>
      <c r="AU26" s="647">
        <f t="shared" si="15"/>
        <v>0.876</v>
      </c>
      <c r="AV26" s="648">
        <f t="shared" si="15"/>
        <v>3.3</v>
      </c>
      <c r="AW26" s="27"/>
      <c r="AX26" s="7"/>
      <c r="AY26" s="94"/>
      <c r="AZ26" s="646">
        <f t="shared" si="16"/>
        <v>1.263157894736842</v>
      </c>
      <c r="BA26" s="647">
        <f t="shared" si="16"/>
        <v>0.94499999999999995</v>
      </c>
      <c r="BB26" s="648">
        <f t="shared" si="16"/>
        <v>3.2</v>
      </c>
      <c r="BC26" s="27"/>
      <c r="BD26" s="7"/>
      <c r="BE26" s="94"/>
      <c r="BF26" s="646">
        <f t="shared" si="17"/>
        <v>1.2903225806451613</v>
      </c>
      <c r="BG26" s="647">
        <f t="shared" si="17"/>
        <v>0.96</v>
      </c>
      <c r="BH26" s="648">
        <f t="shared" si="17"/>
        <v>3.2</v>
      </c>
      <c r="BI26" s="12"/>
    </row>
    <row r="27" spans="1:61" x14ac:dyDescent="0.25">
      <c r="A27" s="26">
        <v>2017</v>
      </c>
      <c r="B27" s="23"/>
      <c r="C27" s="9"/>
      <c r="D27" s="646">
        <f t="shared" si="0"/>
        <v>1.0256410256410258</v>
      </c>
      <c r="E27" s="648">
        <f t="shared" si="0"/>
        <v>0.83916083916083917</v>
      </c>
      <c r="F27" s="11"/>
      <c r="G27" s="9"/>
      <c r="H27" s="646">
        <f t="shared" si="1"/>
        <v>1.0714285714285714</v>
      </c>
      <c r="I27" s="648">
        <f t="shared" si="1"/>
        <v>0.77419354838709675</v>
      </c>
      <c r="J27" s="10"/>
      <c r="K27" s="13"/>
      <c r="L27" s="646">
        <f t="shared" si="2"/>
        <v>1.0909090909090908</v>
      </c>
      <c r="M27" s="648">
        <f t="shared" si="2"/>
        <v>0.80536912751677847</v>
      </c>
      <c r="N27" s="10"/>
      <c r="O27" s="13"/>
      <c r="P27" s="646">
        <f t="shared" si="3"/>
        <v>1.2</v>
      </c>
      <c r="Q27" s="648">
        <f t="shared" si="3"/>
        <v>0.86330935251798557</v>
      </c>
      <c r="S27" s="27"/>
      <c r="T27" s="94"/>
      <c r="U27" s="94"/>
      <c r="V27" s="652">
        <f t="shared" si="10"/>
        <v>1.026</v>
      </c>
      <c r="W27" s="653">
        <f t="shared" si="11"/>
        <v>0.83899999999999997</v>
      </c>
      <c r="X27" s="654">
        <f t="shared" si="11"/>
        <v>2.2000000000000002</v>
      </c>
      <c r="Y27" s="27"/>
      <c r="Z27" s="94"/>
      <c r="AA27" s="94"/>
      <c r="AB27" s="646">
        <f t="shared" si="12"/>
        <v>1.0909090909090908</v>
      </c>
      <c r="AC27" s="647">
        <f t="shared" si="12"/>
        <v>0.82199999999999995</v>
      </c>
      <c r="AD27" s="648">
        <f t="shared" si="12"/>
        <v>3.4</v>
      </c>
      <c r="AE27" s="27"/>
      <c r="AF27" s="7"/>
      <c r="AG27" s="94"/>
      <c r="AH27" s="646">
        <f t="shared" si="13"/>
        <v>1.1111111111111109</v>
      </c>
      <c r="AI27" s="647">
        <f t="shared" si="13"/>
        <v>0.83299999999999996</v>
      </c>
      <c r="AJ27" s="648">
        <f t="shared" si="13"/>
        <v>3.4</v>
      </c>
      <c r="AK27" s="27"/>
      <c r="AL27" s="7"/>
      <c r="AM27" s="94"/>
      <c r="AN27" s="646">
        <f t="shared" si="14"/>
        <v>1.1320754716981132</v>
      </c>
      <c r="AO27" s="647">
        <f t="shared" si="14"/>
        <v>0.86299999999999999</v>
      </c>
      <c r="AP27" s="648">
        <f t="shared" si="14"/>
        <v>3.3</v>
      </c>
      <c r="AQ27" s="27"/>
      <c r="AR27" s="7"/>
      <c r="AS27" s="94"/>
      <c r="AT27" s="646">
        <f t="shared" si="15"/>
        <v>1.1538461538461537</v>
      </c>
      <c r="AU27" s="647">
        <f t="shared" si="15"/>
        <v>0.876</v>
      </c>
      <c r="AV27" s="648">
        <f t="shared" si="15"/>
        <v>3.3</v>
      </c>
      <c r="AW27" s="27"/>
      <c r="AX27" s="7"/>
      <c r="AY27" s="94"/>
      <c r="AZ27" s="646">
        <f t="shared" si="16"/>
        <v>1.263157894736842</v>
      </c>
      <c r="BA27" s="647">
        <f t="shared" si="16"/>
        <v>0.94499999999999995</v>
      </c>
      <c r="BB27" s="648">
        <f t="shared" si="16"/>
        <v>3.2</v>
      </c>
      <c r="BC27" s="27"/>
      <c r="BD27" s="7"/>
      <c r="BE27" s="94"/>
      <c r="BF27" s="646">
        <f t="shared" si="17"/>
        <v>1.2903225806451613</v>
      </c>
      <c r="BG27" s="647">
        <f t="shared" si="17"/>
        <v>0.96</v>
      </c>
      <c r="BH27" s="648">
        <f t="shared" si="17"/>
        <v>3.2</v>
      </c>
      <c r="BI27" s="12"/>
    </row>
    <row r="28" spans="1:61" x14ac:dyDescent="0.25">
      <c r="A28" s="26">
        <v>2018</v>
      </c>
      <c r="B28" s="23"/>
      <c r="C28" s="9"/>
      <c r="D28" s="646">
        <f t="shared" si="0"/>
        <v>1.0256410256410258</v>
      </c>
      <c r="E28" s="648">
        <f t="shared" si="0"/>
        <v>0.83916083916083917</v>
      </c>
      <c r="F28" s="11"/>
      <c r="G28" s="9"/>
      <c r="H28" s="646">
        <f t="shared" si="1"/>
        <v>1.0714285714285714</v>
      </c>
      <c r="I28" s="648">
        <f t="shared" si="1"/>
        <v>0.77419354838709675</v>
      </c>
      <c r="J28" s="10"/>
      <c r="K28" s="13"/>
      <c r="L28" s="646">
        <f t="shared" si="2"/>
        <v>1.0909090909090908</v>
      </c>
      <c r="M28" s="648">
        <f t="shared" si="2"/>
        <v>0.80536912751677847</v>
      </c>
      <c r="N28" s="10"/>
      <c r="O28" s="13"/>
      <c r="P28" s="646">
        <f t="shared" si="3"/>
        <v>1.2</v>
      </c>
      <c r="Q28" s="648">
        <f t="shared" si="3"/>
        <v>0.86330935251798557</v>
      </c>
      <c r="S28" s="27"/>
      <c r="T28" s="94"/>
      <c r="U28" s="94"/>
      <c r="V28" s="652">
        <f t="shared" si="10"/>
        <v>1.026</v>
      </c>
      <c r="W28" s="653">
        <f t="shared" si="11"/>
        <v>0.83899999999999997</v>
      </c>
      <c r="X28" s="654">
        <f t="shared" si="11"/>
        <v>2.2000000000000002</v>
      </c>
      <c r="Y28" s="27"/>
      <c r="Z28" s="94"/>
      <c r="AA28" s="94"/>
      <c r="AB28" s="646">
        <f t="shared" si="12"/>
        <v>1.0909090909090908</v>
      </c>
      <c r="AC28" s="647">
        <f t="shared" si="12"/>
        <v>0.82199999999999995</v>
      </c>
      <c r="AD28" s="648">
        <f t="shared" si="12"/>
        <v>3.4</v>
      </c>
      <c r="AE28" s="27"/>
      <c r="AF28" s="7"/>
      <c r="AG28" s="94"/>
      <c r="AH28" s="646">
        <f t="shared" si="13"/>
        <v>1.1111111111111109</v>
      </c>
      <c r="AI28" s="647">
        <f t="shared" si="13"/>
        <v>0.83299999999999996</v>
      </c>
      <c r="AJ28" s="648">
        <f t="shared" si="13"/>
        <v>3.4</v>
      </c>
      <c r="AK28" s="27"/>
      <c r="AL28" s="7"/>
      <c r="AM28" s="94"/>
      <c r="AN28" s="646">
        <f t="shared" si="14"/>
        <v>1.1320754716981132</v>
      </c>
      <c r="AO28" s="647">
        <f t="shared" si="14"/>
        <v>0.86299999999999999</v>
      </c>
      <c r="AP28" s="648">
        <f t="shared" si="14"/>
        <v>3.3</v>
      </c>
      <c r="AQ28" s="27"/>
      <c r="AR28" s="7"/>
      <c r="AS28" s="94"/>
      <c r="AT28" s="646">
        <f t="shared" si="15"/>
        <v>1.1538461538461537</v>
      </c>
      <c r="AU28" s="647">
        <f t="shared" si="15"/>
        <v>0.876</v>
      </c>
      <c r="AV28" s="648">
        <f t="shared" si="15"/>
        <v>3.3</v>
      </c>
      <c r="AW28" s="27"/>
      <c r="AX28" s="7"/>
      <c r="AY28" s="94"/>
      <c r="AZ28" s="646">
        <f t="shared" si="16"/>
        <v>1.263157894736842</v>
      </c>
      <c r="BA28" s="647">
        <f t="shared" si="16"/>
        <v>0.94499999999999995</v>
      </c>
      <c r="BB28" s="648">
        <f t="shared" si="16"/>
        <v>3.2</v>
      </c>
      <c r="BC28" s="27"/>
      <c r="BD28" s="7"/>
      <c r="BE28" s="94"/>
      <c r="BF28" s="646">
        <f t="shared" si="17"/>
        <v>1.2903225806451613</v>
      </c>
      <c r="BG28" s="647">
        <f t="shared" si="17"/>
        <v>0.96</v>
      </c>
      <c r="BH28" s="648">
        <f t="shared" si="17"/>
        <v>3.2</v>
      </c>
      <c r="BI28" s="12"/>
    </row>
    <row r="29" spans="1:61" x14ac:dyDescent="0.25">
      <c r="A29" s="26">
        <v>2019</v>
      </c>
      <c r="B29" s="23"/>
      <c r="C29" s="9"/>
      <c r="D29" s="646">
        <f t="shared" si="0"/>
        <v>1.0256410256410258</v>
      </c>
      <c r="E29" s="648">
        <f t="shared" si="0"/>
        <v>0.83916083916083917</v>
      </c>
      <c r="F29" s="11"/>
      <c r="G29" s="9"/>
      <c r="H29" s="646">
        <f t="shared" si="1"/>
        <v>1.0714285714285714</v>
      </c>
      <c r="I29" s="648">
        <f t="shared" si="1"/>
        <v>0.77419354838709675</v>
      </c>
      <c r="J29" s="10"/>
      <c r="K29" s="13"/>
      <c r="L29" s="646">
        <f t="shared" si="2"/>
        <v>1.0909090909090908</v>
      </c>
      <c r="M29" s="648">
        <f t="shared" si="2"/>
        <v>0.80536912751677847</v>
      </c>
      <c r="N29" s="10"/>
      <c r="O29" s="13"/>
      <c r="P29" s="646">
        <f t="shared" si="3"/>
        <v>1.2</v>
      </c>
      <c r="Q29" s="648">
        <f t="shared" si="3"/>
        <v>0.86330935251798557</v>
      </c>
      <c r="S29" s="27"/>
      <c r="T29" s="94"/>
      <c r="U29" s="94"/>
      <c r="V29" s="652">
        <f t="shared" si="10"/>
        <v>1.026</v>
      </c>
      <c r="W29" s="653">
        <f t="shared" si="11"/>
        <v>0.83899999999999997</v>
      </c>
      <c r="X29" s="654">
        <f t="shared" si="11"/>
        <v>2.2000000000000002</v>
      </c>
      <c r="Y29" s="27"/>
      <c r="Z29" s="94"/>
      <c r="AA29" s="94"/>
      <c r="AB29" s="646">
        <f t="shared" si="12"/>
        <v>1.0909090909090908</v>
      </c>
      <c r="AC29" s="647">
        <f t="shared" si="12"/>
        <v>0.82199999999999995</v>
      </c>
      <c r="AD29" s="648">
        <f t="shared" si="12"/>
        <v>3.4</v>
      </c>
      <c r="AE29" s="27"/>
      <c r="AF29" s="7"/>
      <c r="AG29" s="94"/>
      <c r="AH29" s="646">
        <f t="shared" si="13"/>
        <v>1.1111111111111109</v>
      </c>
      <c r="AI29" s="647">
        <f t="shared" si="13"/>
        <v>0.83299999999999996</v>
      </c>
      <c r="AJ29" s="648">
        <f t="shared" si="13"/>
        <v>3.4</v>
      </c>
      <c r="AK29" s="27"/>
      <c r="AL29" s="7"/>
      <c r="AM29" s="94"/>
      <c r="AN29" s="646">
        <f t="shared" si="14"/>
        <v>1.1320754716981132</v>
      </c>
      <c r="AO29" s="647">
        <f t="shared" si="14"/>
        <v>0.86299999999999999</v>
      </c>
      <c r="AP29" s="648">
        <f t="shared" si="14"/>
        <v>3.3</v>
      </c>
      <c r="AQ29" s="27"/>
      <c r="AR29" s="7"/>
      <c r="AS29" s="94"/>
      <c r="AT29" s="646">
        <f t="shared" si="15"/>
        <v>1.1538461538461537</v>
      </c>
      <c r="AU29" s="647">
        <f t="shared" si="15"/>
        <v>0.876</v>
      </c>
      <c r="AV29" s="648">
        <f t="shared" si="15"/>
        <v>3.3</v>
      </c>
      <c r="AW29" s="27"/>
      <c r="AX29" s="7"/>
      <c r="AY29" s="94"/>
      <c r="AZ29" s="646">
        <f t="shared" si="16"/>
        <v>1.263157894736842</v>
      </c>
      <c r="BA29" s="647">
        <f t="shared" si="16"/>
        <v>0.94499999999999995</v>
      </c>
      <c r="BB29" s="648">
        <f t="shared" si="16"/>
        <v>3.2</v>
      </c>
      <c r="BC29" s="27"/>
      <c r="BD29" s="7"/>
      <c r="BE29" s="94"/>
      <c r="BF29" s="646">
        <f t="shared" si="17"/>
        <v>1.2903225806451613</v>
      </c>
      <c r="BG29" s="647">
        <f t="shared" si="17"/>
        <v>0.96</v>
      </c>
      <c r="BH29" s="648">
        <f t="shared" si="17"/>
        <v>3.2</v>
      </c>
      <c r="BI29" s="12"/>
    </row>
    <row r="30" spans="1:61" x14ac:dyDescent="0.25">
      <c r="A30" s="26">
        <v>2020</v>
      </c>
      <c r="B30" s="23"/>
      <c r="C30" s="9"/>
      <c r="D30" s="646">
        <f t="shared" si="0"/>
        <v>1.0256410256410258</v>
      </c>
      <c r="E30" s="648">
        <f t="shared" si="0"/>
        <v>0.83916083916083917</v>
      </c>
      <c r="F30" s="11"/>
      <c r="G30" s="9"/>
      <c r="H30" s="646">
        <f t="shared" si="1"/>
        <v>1.0714285714285714</v>
      </c>
      <c r="I30" s="648">
        <f t="shared" si="1"/>
        <v>0.77419354838709675</v>
      </c>
      <c r="J30" s="10"/>
      <c r="K30" s="13"/>
      <c r="L30" s="646">
        <f t="shared" si="2"/>
        <v>1.0909090909090908</v>
      </c>
      <c r="M30" s="648">
        <f t="shared" si="2"/>
        <v>0.80536912751677847</v>
      </c>
      <c r="N30" s="10"/>
      <c r="O30" s="13"/>
      <c r="P30" s="646">
        <f t="shared" si="3"/>
        <v>1.2</v>
      </c>
      <c r="Q30" s="648">
        <f t="shared" si="3"/>
        <v>0.86330935251798557</v>
      </c>
      <c r="S30" s="27"/>
      <c r="T30" s="94"/>
      <c r="U30" s="94"/>
      <c r="V30" s="652">
        <f t="shared" si="10"/>
        <v>1.026</v>
      </c>
      <c r="W30" s="653">
        <f t="shared" si="11"/>
        <v>0.83899999999999997</v>
      </c>
      <c r="X30" s="654">
        <f t="shared" si="11"/>
        <v>2.2000000000000002</v>
      </c>
      <c r="Y30" s="27"/>
      <c r="Z30" s="94"/>
      <c r="AA30" s="94"/>
      <c r="AB30" s="646">
        <f t="shared" si="12"/>
        <v>1.0909090909090908</v>
      </c>
      <c r="AC30" s="647">
        <f t="shared" si="12"/>
        <v>0.82199999999999995</v>
      </c>
      <c r="AD30" s="648">
        <f t="shared" si="12"/>
        <v>3.4</v>
      </c>
      <c r="AE30" s="27"/>
      <c r="AF30" s="7"/>
      <c r="AG30" s="94"/>
      <c r="AH30" s="646">
        <f t="shared" si="13"/>
        <v>1.1111111111111109</v>
      </c>
      <c r="AI30" s="647">
        <f t="shared" si="13"/>
        <v>0.83299999999999996</v>
      </c>
      <c r="AJ30" s="648">
        <f t="shared" si="13"/>
        <v>3.4</v>
      </c>
      <c r="AK30" s="27"/>
      <c r="AL30" s="7"/>
      <c r="AM30" s="94"/>
      <c r="AN30" s="646">
        <f t="shared" si="14"/>
        <v>1.1320754716981132</v>
      </c>
      <c r="AO30" s="647">
        <f t="shared" si="14"/>
        <v>0.86299999999999999</v>
      </c>
      <c r="AP30" s="648">
        <f t="shared" si="14"/>
        <v>3.3</v>
      </c>
      <c r="AQ30" s="27"/>
      <c r="AR30" s="7"/>
      <c r="AS30" s="94"/>
      <c r="AT30" s="646">
        <f t="shared" si="15"/>
        <v>1.1538461538461537</v>
      </c>
      <c r="AU30" s="647">
        <f t="shared" si="15"/>
        <v>0.876</v>
      </c>
      <c r="AV30" s="648">
        <f t="shared" si="15"/>
        <v>3.3</v>
      </c>
      <c r="AW30" s="27"/>
      <c r="AX30" s="7"/>
      <c r="AY30" s="94"/>
      <c r="AZ30" s="646">
        <f t="shared" si="16"/>
        <v>1.263157894736842</v>
      </c>
      <c r="BA30" s="647">
        <f t="shared" si="16"/>
        <v>0.94499999999999995</v>
      </c>
      <c r="BB30" s="648">
        <f t="shared" si="16"/>
        <v>3.2</v>
      </c>
      <c r="BC30" s="27"/>
      <c r="BD30" s="7"/>
      <c r="BE30" s="94"/>
      <c r="BF30" s="646">
        <f t="shared" si="17"/>
        <v>1.2903225806451613</v>
      </c>
      <c r="BG30" s="647">
        <f t="shared" si="17"/>
        <v>0.96</v>
      </c>
      <c r="BH30" s="648">
        <f t="shared" si="17"/>
        <v>3.2</v>
      </c>
      <c r="BI30" s="12"/>
    </row>
    <row r="31" spans="1:61" x14ac:dyDescent="0.25">
      <c r="A31" s="26">
        <v>2021</v>
      </c>
      <c r="B31" s="23"/>
      <c r="C31" s="9"/>
      <c r="D31" s="646">
        <f t="shared" si="0"/>
        <v>1.0256410256410258</v>
      </c>
      <c r="E31" s="648">
        <f t="shared" si="0"/>
        <v>0.83916083916083917</v>
      </c>
      <c r="F31" s="11"/>
      <c r="G31" s="9"/>
      <c r="H31" s="646">
        <f t="shared" si="1"/>
        <v>1.0714285714285714</v>
      </c>
      <c r="I31" s="648">
        <f t="shared" si="1"/>
        <v>0.77419354838709675</v>
      </c>
      <c r="J31" s="10"/>
      <c r="K31" s="13"/>
      <c r="L31" s="646">
        <f t="shared" si="2"/>
        <v>1.0909090909090908</v>
      </c>
      <c r="M31" s="648">
        <f t="shared" si="2"/>
        <v>0.80536912751677847</v>
      </c>
      <c r="N31" s="10"/>
      <c r="O31" s="13"/>
      <c r="P31" s="646">
        <f t="shared" si="3"/>
        <v>1.2</v>
      </c>
      <c r="Q31" s="648">
        <f t="shared" si="3"/>
        <v>0.86330935251798557</v>
      </c>
      <c r="S31" s="27"/>
      <c r="T31" s="94"/>
      <c r="U31" s="94"/>
      <c r="V31" s="652">
        <f t="shared" si="10"/>
        <v>1.026</v>
      </c>
      <c r="W31" s="653">
        <f t="shared" si="11"/>
        <v>0.83899999999999997</v>
      </c>
      <c r="X31" s="654">
        <f t="shared" si="11"/>
        <v>2.2000000000000002</v>
      </c>
      <c r="Y31" s="27"/>
      <c r="Z31" s="94"/>
      <c r="AA31" s="94"/>
      <c r="AB31" s="646">
        <f t="shared" si="12"/>
        <v>1.0909090909090908</v>
      </c>
      <c r="AC31" s="647">
        <f t="shared" si="12"/>
        <v>0.82199999999999995</v>
      </c>
      <c r="AD31" s="648">
        <f t="shared" si="12"/>
        <v>3.4</v>
      </c>
      <c r="AE31" s="27"/>
      <c r="AF31" s="7"/>
      <c r="AG31" s="94"/>
      <c r="AH31" s="646">
        <f t="shared" si="13"/>
        <v>1.1111111111111109</v>
      </c>
      <c r="AI31" s="647">
        <f t="shared" si="13"/>
        <v>0.83299999999999996</v>
      </c>
      <c r="AJ31" s="648">
        <f t="shared" si="13"/>
        <v>3.4</v>
      </c>
      <c r="AK31" s="27"/>
      <c r="AL31" s="7"/>
      <c r="AM31" s="94"/>
      <c r="AN31" s="646">
        <f t="shared" si="14"/>
        <v>1.1320754716981132</v>
      </c>
      <c r="AO31" s="647">
        <f t="shared" si="14"/>
        <v>0.86299999999999999</v>
      </c>
      <c r="AP31" s="648">
        <f t="shared" si="14"/>
        <v>3.3</v>
      </c>
      <c r="AQ31" s="27"/>
      <c r="AR31" s="7"/>
      <c r="AS31" s="94"/>
      <c r="AT31" s="646">
        <f t="shared" si="15"/>
        <v>1.1538461538461537</v>
      </c>
      <c r="AU31" s="647">
        <f t="shared" si="15"/>
        <v>0.876</v>
      </c>
      <c r="AV31" s="648">
        <f t="shared" si="15"/>
        <v>3.3</v>
      </c>
      <c r="AW31" s="27"/>
      <c r="AX31" s="7"/>
      <c r="AY31" s="94"/>
      <c r="AZ31" s="646">
        <f t="shared" si="16"/>
        <v>1.263157894736842</v>
      </c>
      <c r="BA31" s="647">
        <f t="shared" si="16"/>
        <v>0.94499999999999995</v>
      </c>
      <c r="BB31" s="648">
        <f t="shared" si="16"/>
        <v>3.2</v>
      </c>
      <c r="BC31" s="27"/>
      <c r="BD31" s="7"/>
      <c r="BE31" s="94"/>
      <c r="BF31" s="646">
        <f t="shared" si="17"/>
        <v>1.2903225806451613</v>
      </c>
      <c r="BG31" s="647">
        <f t="shared" si="17"/>
        <v>0.96</v>
      </c>
      <c r="BH31" s="648">
        <f t="shared" si="17"/>
        <v>3.2</v>
      </c>
      <c r="BI31" s="12"/>
    </row>
    <row r="32" spans="1:61" x14ac:dyDescent="0.25">
      <c r="A32" s="26">
        <v>2022</v>
      </c>
      <c r="B32" s="23"/>
      <c r="C32" s="9"/>
      <c r="D32" s="646">
        <f t="shared" si="0"/>
        <v>1.0256410256410258</v>
      </c>
      <c r="E32" s="648">
        <f t="shared" si="0"/>
        <v>0.83916083916083917</v>
      </c>
      <c r="F32" s="11"/>
      <c r="G32" s="9"/>
      <c r="H32" s="646">
        <f t="shared" si="1"/>
        <v>1.0714285714285714</v>
      </c>
      <c r="I32" s="648">
        <f t="shared" si="1"/>
        <v>0.77419354838709675</v>
      </c>
      <c r="J32" s="10"/>
      <c r="K32" s="13"/>
      <c r="L32" s="646">
        <f t="shared" si="2"/>
        <v>1.0909090909090908</v>
      </c>
      <c r="M32" s="648">
        <f t="shared" si="2"/>
        <v>0.80536912751677847</v>
      </c>
      <c r="N32" s="10"/>
      <c r="O32" s="13"/>
      <c r="P32" s="646">
        <f t="shared" si="3"/>
        <v>1.2</v>
      </c>
      <c r="Q32" s="648">
        <f t="shared" si="3"/>
        <v>0.86330935251798557</v>
      </c>
      <c r="S32" s="27"/>
      <c r="T32" s="94"/>
      <c r="U32" s="94"/>
      <c r="V32" s="652">
        <f t="shared" si="10"/>
        <v>1.026</v>
      </c>
      <c r="W32" s="653">
        <f t="shared" si="11"/>
        <v>0.83899999999999997</v>
      </c>
      <c r="X32" s="654">
        <f t="shared" si="11"/>
        <v>2.2000000000000002</v>
      </c>
      <c r="Y32" s="27"/>
      <c r="Z32" s="94"/>
      <c r="AA32" s="94"/>
      <c r="AB32" s="646">
        <f t="shared" si="12"/>
        <v>1.0909090909090908</v>
      </c>
      <c r="AC32" s="647">
        <f t="shared" si="12"/>
        <v>0.82199999999999995</v>
      </c>
      <c r="AD32" s="648">
        <f t="shared" si="12"/>
        <v>3.4</v>
      </c>
      <c r="AE32" s="27"/>
      <c r="AF32" s="7"/>
      <c r="AG32" s="94"/>
      <c r="AH32" s="646">
        <f t="shared" si="13"/>
        <v>1.1111111111111109</v>
      </c>
      <c r="AI32" s="647">
        <f t="shared" si="13"/>
        <v>0.83299999999999996</v>
      </c>
      <c r="AJ32" s="648">
        <f t="shared" si="13"/>
        <v>3.4</v>
      </c>
      <c r="AK32" s="27"/>
      <c r="AL32" s="7"/>
      <c r="AM32" s="94"/>
      <c r="AN32" s="646">
        <f t="shared" si="14"/>
        <v>1.1320754716981132</v>
      </c>
      <c r="AO32" s="647">
        <f t="shared" si="14"/>
        <v>0.86299999999999999</v>
      </c>
      <c r="AP32" s="648">
        <f t="shared" si="14"/>
        <v>3.3</v>
      </c>
      <c r="AQ32" s="27"/>
      <c r="AR32" s="7"/>
      <c r="AS32" s="94"/>
      <c r="AT32" s="646">
        <f t="shared" si="15"/>
        <v>1.1538461538461537</v>
      </c>
      <c r="AU32" s="647">
        <f t="shared" si="15"/>
        <v>0.876</v>
      </c>
      <c r="AV32" s="648">
        <f t="shared" si="15"/>
        <v>3.3</v>
      </c>
      <c r="AW32" s="27"/>
      <c r="AX32" s="7"/>
      <c r="AY32" s="94"/>
      <c r="AZ32" s="646">
        <f t="shared" si="16"/>
        <v>1.263157894736842</v>
      </c>
      <c r="BA32" s="647">
        <f t="shared" si="16"/>
        <v>0.94499999999999995</v>
      </c>
      <c r="BB32" s="648">
        <f t="shared" si="16"/>
        <v>3.2</v>
      </c>
      <c r="BC32" s="27"/>
      <c r="BD32" s="7"/>
      <c r="BE32" s="94"/>
      <c r="BF32" s="646">
        <f t="shared" si="17"/>
        <v>1.2903225806451613</v>
      </c>
      <c r="BG32" s="647">
        <f t="shared" si="17"/>
        <v>0.96</v>
      </c>
      <c r="BH32" s="648">
        <f t="shared" si="17"/>
        <v>3.2</v>
      </c>
      <c r="BI32" s="12"/>
    </row>
    <row r="33" spans="1:61" x14ac:dyDescent="0.25">
      <c r="A33" s="26">
        <v>2023</v>
      </c>
      <c r="B33" s="23"/>
      <c r="C33" s="9"/>
      <c r="D33" s="646">
        <f t="shared" ref="D33:E35" si="18">D$37</f>
        <v>1.0256410256410258</v>
      </c>
      <c r="E33" s="648">
        <f t="shared" si="18"/>
        <v>0.83916083916083917</v>
      </c>
      <c r="F33" s="11"/>
      <c r="G33" s="9"/>
      <c r="H33" s="646">
        <f t="shared" ref="H33:I35" si="19">H$37</f>
        <v>1.0714285714285714</v>
      </c>
      <c r="I33" s="648">
        <f t="shared" si="19"/>
        <v>0.77419354838709675</v>
      </c>
      <c r="J33" s="10"/>
      <c r="K33" s="13"/>
      <c r="L33" s="646">
        <f t="shared" ref="L33:M35" si="20">L$37</f>
        <v>1.0909090909090908</v>
      </c>
      <c r="M33" s="648">
        <f t="shared" si="20"/>
        <v>0.80536912751677847</v>
      </c>
      <c r="N33" s="10"/>
      <c r="O33" s="13"/>
      <c r="P33" s="646">
        <f t="shared" ref="P33:Q35" si="21">P$37</f>
        <v>1.2</v>
      </c>
      <c r="Q33" s="648">
        <f t="shared" si="21"/>
        <v>0.86330935251798557</v>
      </c>
      <c r="S33" s="27"/>
      <c r="T33" s="94"/>
      <c r="U33" s="94"/>
      <c r="V33" s="652">
        <f t="shared" si="10"/>
        <v>1.026</v>
      </c>
      <c r="W33" s="653">
        <f t="shared" si="11"/>
        <v>0.83899999999999997</v>
      </c>
      <c r="X33" s="654">
        <f t="shared" si="11"/>
        <v>2.2000000000000002</v>
      </c>
      <c r="Y33" s="27"/>
      <c r="Z33" s="94"/>
      <c r="AA33" s="94"/>
      <c r="AB33" s="646">
        <f t="shared" si="12"/>
        <v>1.0909090909090908</v>
      </c>
      <c r="AC33" s="647">
        <f t="shared" si="12"/>
        <v>0.82199999999999995</v>
      </c>
      <c r="AD33" s="648">
        <f t="shared" si="12"/>
        <v>3.4</v>
      </c>
      <c r="AE33" s="27"/>
      <c r="AF33" s="7"/>
      <c r="AG33" s="94"/>
      <c r="AH33" s="646">
        <f t="shared" si="13"/>
        <v>1.1111111111111109</v>
      </c>
      <c r="AI33" s="647">
        <f t="shared" si="13"/>
        <v>0.83299999999999996</v>
      </c>
      <c r="AJ33" s="648">
        <f t="shared" si="13"/>
        <v>3.4</v>
      </c>
      <c r="AK33" s="27"/>
      <c r="AL33" s="7"/>
      <c r="AM33" s="94"/>
      <c r="AN33" s="646">
        <f t="shared" si="14"/>
        <v>1.1320754716981132</v>
      </c>
      <c r="AO33" s="647">
        <f t="shared" si="14"/>
        <v>0.86299999999999999</v>
      </c>
      <c r="AP33" s="648">
        <f t="shared" si="14"/>
        <v>3.3</v>
      </c>
      <c r="AQ33" s="27"/>
      <c r="AR33" s="7"/>
      <c r="AS33" s="94"/>
      <c r="AT33" s="646">
        <f t="shared" si="15"/>
        <v>1.1538461538461537</v>
      </c>
      <c r="AU33" s="647">
        <f t="shared" si="15"/>
        <v>0.876</v>
      </c>
      <c r="AV33" s="648">
        <f t="shared" si="15"/>
        <v>3.3</v>
      </c>
      <c r="AW33" s="27"/>
      <c r="AX33" s="7"/>
      <c r="AY33" s="94"/>
      <c r="AZ33" s="646">
        <f t="shared" si="16"/>
        <v>1.263157894736842</v>
      </c>
      <c r="BA33" s="647">
        <f t="shared" si="16"/>
        <v>0.94499999999999995</v>
      </c>
      <c r="BB33" s="648">
        <f t="shared" si="16"/>
        <v>3.2</v>
      </c>
      <c r="BC33" s="27"/>
      <c r="BD33" s="7"/>
      <c r="BE33" s="94"/>
      <c r="BF33" s="646">
        <f t="shared" si="17"/>
        <v>1.2903225806451613</v>
      </c>
      <c r="BG33" s="647">
        <f t="shared" si="17"/>
        <v>0.96</v>
      </c>
      <c r="BH33" s="648">
        <f t="shared" si="17"/>
        <v>3.2</v>
      </c>
      <c r="BI33" s="12"/>
    </row>
    <row r="34" spans="1:61" x14ac:dyDescent="0.25">
      <c r="A34" s="26">
        <v>2024</v>
      </c>
      <c r="B34" s="23"/>
      <c r="C34" s="9"/>
      <c r="D34" s="646">
        <f t="shared" si="18"/>
        <v>1.0256410256410258</v>
      </c>
      <c r="E34" s="648">
        <f t="shared" si="18"/>
        <v>0.83916083916083917</v>
      </c>
      <c r="F34" s="11"/>
      <c r="G34" s="9"/>
      <c r="H34" s="646">
        <f t="shared" si="19"/>
        <v>1.0714285714285714</v>
      </c>
      <c r="I34" s="648">
        <f t="shared" si="19"/>
        <v>0.77419354838709675</v>
      </c>
      <c r="J34" s="10"/>
      <c r="K34" s="13"/>
      <c r="L34" s="646">
        <f t="shared" si="20"/>
        <v>1.0909090909090908</v>
      </c>
      <c r="M34" s="648">
        <f t="shared" si="20"/>
        <v>0.80536912751677847</v>
      </c>
      <c r="N34" s="10"/>
      <c r="O34" s="13"/>
      <c r="P34" s="646">
        <f t="shared" si="21"/>
        <v>1.2</v>
      </c>
      <c r="Q34" s="648">
        <f t="shared" si="21"/>
        <v>0.86330935251798557</v>
      </c>
      <c r="S34" s="27"/>
      <c r="T34" s="94"/>
      <c r="U34" s="94"/>
      <c r="V34" s="652">
        <f t="shared" si="10"/>
        <v>1.026</v>
      </c>
      <c r="W34" s="653">
        <f t="shared" si="11"/>
        <v>0.83899999999999997</v>
      </c>
      <c r="X34" s="654">
        <f t="shared" si="11"/>
        <v>2.2000000000000002</v>
      </c>
      <c r="Y34" s="27"/>
      <c r="Z34" s="94"/>
      <c r="AA34" s="94"/>
      <c r="AB34" s="646">
        <f t="shared" si="12"/>
        <v>1.0909090909090908</v>
      </c>
      <c r="AC34" s="647">
        <f t="shared" si="12"/>
        <v>0.82199999999999995</v>
      </c>
      <c r="AD34" s="648">
        <f t="shared" si="12"/>
        <v>3.4</v>
      </c>
      <c r="AE34" s="27"/>
      <c r="AF34" s="7"/>
      <c r="AG34" s="94"/>
      <c r="AH34" s="646">
        <f t="shared" si="13"/>
        <v>1.1111111111111109</v>
      </c>
      <c r="AI34" s="647">
        <f t="shared" si="13"/>
        <v>0.83299999999999996</v>
      </c>
      <c r="AJ34" s="648">
        <f t="shared" si="13"/>
        <v>3.4</v>
      </c>
      <c r="AK34" s="27"/>
      <c r="AL34" s="7"/>
      <c r="AM34" s="94"/>
      <c r="AN34" s="646">
        <f t="shared" si="14"/>
        <v>1.1320754716981132</v>
      </c>
      <c r="AO34" s="647">
        <f t="shared" si="14"/>
        <v>0.86299999999999999</v>
      </c>
      <c r="AP34" s="648">
        <f t="shared" si="14"/>
        <v>3.3</v>
      </c>
      <c r="AQ34" s="27"/>
      <c r="AR34" s="7"/>
      <c r="AS34" s="94"/>
      <c r="AT34" s="646">
        <f t="shared" si="15"/>
        <v>1.1538461538461537</v>
      </c>
      <c r="AU34" s="647">
        <f t="shared" si="15"/>
        <v>0.876</v>
      </c>
      <c r="AV34" s="648">
        <f t="shared" si="15"/>
        <v>3.3</v>
      </c>
      <c r="AW34" s="27"/>
      <c r="AX34" s="7"/>
      <c r="AY34" s="94"/>
      <c r="AZ34" s="646">
        <f t="shared" si="16"/>
        <v>1.263157894736842</v>
      </c>
      <c r="BA34" s="647">
        <f t="shared" si="16"/>
        <v>0.94499999999999995</v>
      </c>
      <c r="BB34" s="648">
        <f t="shared" si="16"/>
        <v>3.2</v>
      </c>
      <c r="BC34" s="27"/>
      <c r="BD34" s="7"/>
      <c r="BE34" s="94"/>
      <c r="BF34" s="646">
        <f t="shared" si="17"/>
        <v>1.2903225806451613</v>
      </c>
      <c r="BG34" s="647">
        <f t="shared" si="17"/>
        <v>0.96</v>
      </c>
      <c r="BH34" s="648">
        <f t="shared" si="17"/>
        <v>3.2</v>
      </c>
      <c r="BI34" s="12"/>
    </row>
    <row r="35" spans="1:61" x14ac:dyDescent="0.25">
      <c r="A35" s="26">
        <v>2025</v>
      </c>
      <c r="B35" s="23"/>
      <c r="C35" s="9"/>
      <c r="D35" s="646">
        <f t="shared" si="18"/>
        <v>1.0256410256410258</v>
      </c>
      <c r="E35" s="648">
        <f t="shared" si="18"/>
        <v>0.83916083916083917</v>
      </c>
      <c r="F35" s="11"/>
      <c r="G35" s="9"/>
      <c r="H35" s="646">
        <f t="shared" si="19"/>
        <v>1.0714285714285714</v>
      </c>
      <c r="I35" s="648">
        <f t="shared" si="19"/>
        <v>0.77419354838709675</v>
      </c>
      <c r="J35" s="10"/>
      <c r="K35" s="13"/>
      <c r="L35" s="646">
        <f t="shared" si="20"/>
        <v>1.0909090909090908</v>
      </c>
      <c r="M35" s="648">
        <f t="shared" si="20"/>
        <v>0.80536912751677847</v>
      </c>
      <c r="N35" s="10"/>
      <c r="O35" s="13"/>
      <c r="P35" s="646">
        <f t="shared" si="21"/>
        <v>1.2</v>
      </c>
      <c r="Q35" s="648">
        <f t="shared" si="21"/>
        <v>0.86330935251798557</v>
      </c>
      <c r="S35" s="27"/>
      <c r="T35" s="94"/>
      <c r="U35" s="94"/>
      <c r="V35" s="652">
        <f t="shared" si="10"/>
        <v>1.026</v>
      </c>
      <c r="W35" s="653">
        <f t="shared" si="11"/>
        <v>0.83899999999999997</v>
      </c>
      <c r="X35" s="654">
        <f t="shared" si="11"/>
        <v>2.2000000000000002</v>
      </c>
      <c r="Y35" s="27"/>
      <c r="Z35" s="94"/>
      <c r="AA35" s="94"/>
      <c r="AB35" s="646">
        <f t="shared" si="12"/>
        <v>1.0909090909090908</v>
      </c>
      <c r="AC35" s="647">
        <f t="shared" si="12"/>
        <v>0.82199999999999995</v>
      </c>
      <c r="AD35" s="648">
        <f t="shared" si="12"/>
        <v>3.4</v>
      </c>
      <c r="AE35" s="27"/>
      <c r="AF35" s="7"/>
      <c r="AG35" s="94"/>
      <c r="AH35" s="646">
        <f t="shared" si="13"/>
        <v>1.1111111111111109</v>
      </c>
      <c r="AI35" s="647">
        <f t="shared" si="13"/>
        <v>0.83299999999999996</v>
      </c>
      <c r="AJ35" s="648">
        <f t="shared" si="13"/>
        <v>3.4</v>
      </c>
      <c r="AK35" s="27"/>
      <c r="AL35" s="7"/>
      <c r="AM35" s="94"/>
      <c r="AN35" s="646">
        <f t="shared" si="14"/>
        <v>1.1320754716981132</v>
      </c>
      <c r="AO35" s="647">
        <f t="shared" si="14"/>
        <v>0.86299999999999999</v>
      </c>
      <c r="AP35" s="648">
        <f t="shared" si="14"/>
        <v>3.3</v>
      </c>
      <c r="AQ35" s="27"/>
      <c r="AR35" s="7"/>
      <c r="AS35" s="94"/>
      <c r="AT35" s="646">
        <f t="shared" si="15"/>
        <v>1.1538461538461537</v>
      </c>
      <c r="AU35" s="647">
        <f t="shared" si="15"/>
        <v>0.876</v>
      </c>
      <c r="AV35" s="648">
        <f t="shared" si="15"/>
        <v>3.3</v>
      </c>
      <c r="AW35" s="27"/>
      <c r="AX35" s="7"/>
      <c r="AY35" s="94"/>
      <c r="AZ35" s="646">
        <f t="shared" si="16"/>
        <v>1.263157894736842</v>
      </c>
      <c r="BA35" s="647">
        <f t="shared" si="16"/>
        <v>0.94499999999999995</v>
      </c>
      <c r="BB35" s="648">
        <f t="shared" si="16"/>
        <v>3.2</v>
      </c>
      <c r="BC35" s="27"/>
      <c r="BD35" s="7"/>
      <c r="BE35" s="94"/>
      <c r="BF35" s="646">
        <f t="shared" si="17"/>
        <v>1.2903225806451613</v>
      </c>
      <c r="BG35" s="647">
        <f t="shared" si="17"/>
        <v>0.96</v>
      </c>
      <c r="BH35" s="648">
        <f t="shared" si="17"/>
        <v>3.2</v>
      </c>
      <c r="BI35" s="12"/>
    </row>
    <row r="36" spans="1:61" x14ac:dyDescent="0.25">
      <c r="A36" s="412" t="str">
        <v>ARTRM9.2</v>
      </c>
      <c r="B36" s="27">
        <v>11.8</v>
      </c>
      <c r="C36" s="9">
        <v>14</v>
      </c>
      <c r="D36" s="646">
        <f t="shared" ref="D36" si="22">12/B36</f>
        <v>1.0169491525423728</v>
      </c>
      <c r="E36" s="648">
        <f t="shared" ref="E36" si="23">12/C36</f>
        <v>0.8571428571428571</v>
      </c>
      <c r="F36" s="11">
        <v>11.2</v>
      </c>
      <c r="G36" s="9">
        <v>13.1</v>
      </c>
      <c r="H36" s="646">
        <f t="shared" ref="H36" si="24">12/F36</f>
        <v>1.0714285714285714</v>
      </c>
      <c r="I36" s="648">
        <f t="shared" ref="I36" si="25">12/G36</f>
        <v>0.91603053435114501</v>
      </c>
      <c r="J36" s="10">
        <v>11</v>
      </c>
      <c r="K36" s="13">
        <v>12.9</v>
      </c>
      <c r="L36" s="646">
        <f t="shared" ref="L36" si="26">12/J36</f>
        <v>1.0909090909090908</v>
      </c>
      <c r="M36" s="648">
        <f t="shared" ref="M36" si="27">12/K36</f>
        <v>0.93023255813953487</v>
      </c>
      <c r="N36" s="10">
        <v>10</v>
      </c>
      <c r="O36" s="9">
        <v>11.6</v>
      </c>
      <c r="P36" s="646">
        <f t="shared" ref="P36" si="28">12/N36</f>
        <v>1.2</v>
      </c>
      <c r="Q36" s="648">
        <f t="shared" ref="Q36" si="29">12/O36</f>
        <v>1.0344827586206897</v>
      </c>
      <c r="S36" s="27">
        <v>11.8</v>
      </c>
      <c r="T36" s="9">
        <v>14</v>
      </c>
      <c r="U36" s="94">
        <v>8.1999999999999993</v>
      </c>
      <c r="V36" s="652">
        <f t="shared" ref="V36" si="30">12/S36</f>
        <v>1.0169491525423728</v>
      </c>
      <c r="W36" s="653">
        <f t="shared" ref="W36" si="31">12/T36</f>
        <v>0.8571428571428571</v>
      </c>
      <c r="X36" s="654">
        <f t="shared" ref="X36" si="32">12/U36</f>
        <v>1.4634146341463417</v>
      </c>
      <c r="Y36" s="27">
        <v>11</v>
      </c>
      <c r="Z36" s="9">
        <v>12.9</v>
      </c>
      <c r="AA36" s="94">
        <v>3.3</v>
      </c>
      <c r="AB36" s="646">
        <f t="shared" ref="AB36" si="33">12/Y36</f>
        <v>1.0909090909090908</v>
      </c>
      <c r="AC36" s="647">
        <f t="shared" ref="AC36" si="34">12/Z36</f>
        <v>0.93023255813953487</v>
      </c>
      <c r="AD36" s="648">
        <f>12/3.412/AA36</f>
        <v>1.0657572205051691</v>
      </c>
      <c r="AE36" s="11">
        <v>10.8</v>
      </c>
      <c r="AF36" s="7">
        <v>12.7</v>
      </c>
      <c r="AG36" s="9">
        <v>3.3</v>
      </c>
      <c r="AH36" s="646">
        <f t="shared" ref="AH36" si="35">12/AE36</f>
        <v>1.1111111111111109</v>
      </c>
      <c r="AI36" s="647">
        <f t="shared" ref="AI36" si="36">12/AF36</f>
        <v>0.94488188976377963</v>
      </c>
      <c r="AJ36" s="648">
        <f t="shared" ref="AJ36" si="37">12/3.412/AG36</f>
        <v>1.0657572205051691</v>
      </c>
      <c r="AK36" s="10">
        <v>10.6</v>
      </c>
      <c r="AL36" s="8">
        <v>12.3</v>
      </c>
      <c r="AM36" s="13">
        <v>3.2</v>
      </c>
      <c r="AN36" s="646">
        <f t="shared" ref="AN36" si="38">12/AK36</f>
        <v>1.1320754716981132</v>
      </c>
      <c r="AO36" s="647">
        <f t="shared" ref="AO36" si="39">12/AL36</f>
        <v>0.97560975609756095</v>
      </c>
      <c r="AP36" s="648">
        <f t="shared" ref="AP36" si="40">12/3.412/AM36</f>
        <v>1.0990621336459554</v>
      </c>
      <c r="AQ36" s="10">
        <v>10.4</v>
      </c>
      <c r="AR36" s="7">
        <v>12.1</v>
      </c>
      <c r="AS36" s="9">
        <v>3.2</v>
      </c>
      <c r="AT36" s="646">
        <f t="shared" ref="AT36" si="41">12/AQ36</f>
        <v>1.1538461538461537</v>
      </c>
      <c r="AU36" s="647">
        <f t="shared" ref="AU36" si="42">12/AR36</f>
        <v>0.99173553719008267</v>
      </c>
      <c r="AV36" s="648">
        <f t="shared" ref="AV36" si="43">12/3.412/AS36</f>
        <v>1.0990621336459554</v>
      </c>
      <c r="AW36" s="10">
        <v>9.5</v>
      </c>
      <c r="AX36" s="8">
        <v>11</v>
      </c>
      <c r="AY36" s="13">
        <v>3.2</v>
      </c>
      <c r="AZ36" s="646">
        <f t="shared" ref="AZ36" si="44">12/AW36</f>
        <v>1.263157894736842</v>
      </c>
      <c r="BA36" s="647">
        <f t="shared" ref="BA36" si="45">12/AX36</f>
        <v>1.0909090909090908</v>
      </c>
      <c r="BB36" s="648">
        <f t="shared" ref="BB36" si="46">12/3.412/AY36</f>
        <v>1.0990621336459554</v>
      </c>
      <c r="BC36" s="10">
        <v>9.3000000000000007</v>
      </c>
      <c r="BD36" s="7">
        <v>10.8</v>
      </c>
      <c r="BE36" s="9">
        <v>3.2</v>
      </c>
      <c r="BF36" s="646">
        <f t="shared" ref="BF36" si="47">12/BC36</f>
        <v>1.2903225806451613</v>
      </c>
      <c r="BG36" s="647">
        <f t="shared" ref="BG36" si="48">12/BD36</f>
        <v>1.1111111111111109</v>
      </c>
      <c r="BH36" s="648">
        <f t="shared" ref="BH36" si="49">12/3.412/BE36</f>
        <v>1.0990621336459554</v>
      </c>
      <c r="BI36" s="12"/>
    </row>
    <row r="37" spans="1:61" s="3" customFormat="1" ht="15.75" thickBot="1" x14ac:dyDescent="0.3">
      <c r="A37" s="212" t="str">
        <v>CPS</v>
      </c>
      <c r="B37" s="27">
        <v>11.7</v>
      </c>
      <c r="C37" s="19">
        <v>14.3</v>
      </c>
      <c r="D37" s="649">
        <f t="shared" ref="D37" si="50">12/B37</f>
        <v>1.0256410256410258</v>
      </c>
      <c r="E37" s="651">
        <f t="shared" ref="E37" si="51">12/C37</f>
        <v>0.83916083916083917</v>
      </c>
      <c r="F37" s="22">
        <v>11.2</v>
      </c>
      <c r="G37" s="19">
        <v>15.5</v>
      </c>
      <c r="H37" s="649">
        <f t="shared" ref="H37" si="52">12/F37</f>
        <v>1.0714285714285714</v>
      </c>
      <c r="I37" s="651">
        <f t="shared" ref="I37" si="53">12/G37</f>
        <v>0.77419354838709675</v>
      </c>
      <c r="J37" s="207">
        <v>11</v>
      </c>
      <c r="K37" s="13">
        <v>14.9</v>
      </c>
      <c r="L37" s="649">
        <f t="shared" ref="L37" si="54">12/J37</f>
        <v>1.0909090909090908</v>
      </c>
      <c r="M37" s="651">
        <f t="shared" ref="M37" si="55">12/K37</f>
        <v>0.80536912751677847</v>
      </c>
      <c r="N37" s="17">
        <v>10</v>
      </c>
      <c r="O37" s="9">
        <v>13.9</v>
      </c>
      <c r="P37" s="649">
        <f t="shared" ref="P37" si="56">12/N37</f>
        <v>1.2</v>
      </c>
      <c r="Q37" s="651">
        <f t="shared" ref="Q37" si="57">12/O37</f>
        <v>0.86330935251798557</v>
      </c>
      <c r="R37"/>
      <c r="S37" s="27">
        <v>11.7</v>
      </c>
      <c r="T37" s="19">
        <v>14.3</v>
      </c>
      <c r="U37" s="95">
        <v>7.5</v>
      </c>
      <c r="V37" s="655">
        <v>1.026</v>
      </c>
      <c r="W37" s="656">
        <v>0.83899999999999997</v>
      </c>
      <c r="X37" s="654">
        <v>2.2000000000000002</v>
      </c>
      <c r="Y37" s="27">
        <v>11</v>
      </c>
      <c r="Z37" s="9">
        <v>12.9</v>
      </c>
      <c r="AA37" s="95">
        <v>3.4</v>
      </c>
      <c r="AB37" s="649">
        <f t="shared" ref="AB37" si="58">12/Y37</f>
        <v>1.0909090909090908</v>
      </c>
      <c r="AC37" s="650">
        <v>0.82199999999999995</v>
      </c>
      <c r="AD37" s="651">
        <v>3.4</v>
      </c>
      <c r="AE37" s="11">
        <v>10.8</v>
      </c>
      <c r="AF37" s="7">
        <v>12.7</v>
      </c>
      <c r="AG37" s="19">
        <v>3.3</v>
      </c>
      <c r="AH37" s="649">
        <f t="shared" ref="AH37" si="59">12/AE37</f>
        <v>1.1111111111111109</v>
      </c>
      <c r="AI37" s="650">
        <v>0.83299999999999996</v>
      </c>
      <c r="AJ37" s="651">
        <v>3.4</v>
      </c>
      <c r="AK37" s="10">
        <v>10.6</v>
      </c>
      <c r="AL37" s="8">
        <v>12.3</v>
      </c>
      <c r="AM37" s="21">
        <v>3.2</v>
      </c>
      <c r="AN37" s="649">
        <f t="shared" ref="AN37" si="60">12/AK37</f>
        <v>1.1320754716981132</v>
      </c>
      <c r="AO37" s="650">
        <v>0.86299999999999999</v>
      </c>
      <c r="AP37" s="651">
        <v>3.3</v>
      </c>
      <c r="AQ37" s="10">
        <v>10.4</v>
      </c>
      <c r="AR37" s="7">
        <v>12.1</v>
      </c>
      <c r="AS37" s="19">
        <v>3.2</v>
      </c>
      <c r="AT37" s="649">
        <f t="shared" ref="AT37" si="61">12/AQ37</f>
        <v>1.1538461538461537</v>
      </c>
      <c r="AU37" s="650">
        <v>0.876</v>
      </c>
      <c r="AV37" s="651">
        <v>3.3</v>
      </c>
      <c r="AW37" s="10">
        <v>9.5</v>
      </c>
      <c r="AX37" s="8">
        <v>11</v>
      </c>
      <c r="AY37" s="21">
        <v>3.2</v>
      </c>
      <c r="AZ37" s="649">
        <f t="shared" ref="AZ37" si="62">12/AW37</f>
        <v>1.263157894736842</v>
      </c>
      <c r="BA37" s="650">
        <v>0.94499999999999995</v>
      </c>
      <c r="BB37" s="651">
        <v>3.2</v>
      </c>
      <c r="BC37" s="10">
        <v>9.3000000000000007</v>
      </c>
      <c r="BD37" s="7">
        <v>10.8</v>
      </c>
      <c r="BE37" s="19">
        <v>3.2</v>
      </c>
      <c r="BF37" s="649">
        <f t="shared" ref="BF37" si="63">12/BC37</f>
        <v>1.2903225806451613</v>
      </c>
      <c r="BG37" s="650">
        <v>0.96</v>
      </c>
      <c r="BH37" s="651">
        <v>3.2</v>
      </c>
      <c r="BI37" s="12"/>
    </row>
    <row r="68" spans="2:14" x14ac:dyDescent="0.25">
      <c r="B68" s="3"/>
      <c r="C68" s="3"/>
      <c r="F68" s="4"/>
      <c r="J68" s="4"/>
      <c r="N68" s="4"/>
    </row>
    <row r="69" spans="2:14" x14ac:dyDescent="0.25">
      <c r="B69" s="3"/>
      <c r="C69" s="3"/>
      <c r="F69" s="4"/>
      <c r="J69" s="4"/>
      <c r="N69" s="4"/>
    </row>
    <row r="70" spans="2:14" x14ac:dyDescent="0.25">
      <c r="B70" s="3"/>
      <c r="C70" s="3"/>
      <c r="F70" s="4"/>
      <c r="J70" s="4"/>
      <c r="N70" s="4"/>
    </row>
    <row r="71" spans="2:14" x14ac:dyDescent="0.25">
      <c r="B71" s="3"/>
      <c r="C71" s="3"/>
      <c r="F71" s="4"/>
      <c r="J71" s="4"/>
      <c r="N71" s="4"/>
    </row>
  </sheetData>
  <pageMargins left="0.7" right="0.7" top="0.75" bottom="0.75" header="0.3" footer="0.3"/>
  <pageSetup paperSize="3" scale="17" orientation="landscape" r:id="rId1"/>
  <ignoredErrors>
    <ignoredError sqref="W7:W35" formula="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BV42"/>
  <sheetViews>
    <sheetView zoomScale="85" zoomScaleNormal="85" workbookViewId="0">
      <pane xSplit="1" topLeftCell="BD1" activePane="topRight" state="frozen"/>
      <selection pane="topRight" activeCell="BS16" sqref="BS16"/>
    </sheetView>
  </sheetViews>
  <sheetFormatPr defaultColWidth="9.140625" defaultRowHeight="15" x14ac:dyDescent="0.25"/>
  <cols>
    <col min="1" max="1" width="11.5703125" style="31" customWidth="1"/>
    <col min="2" max="106" width="15.7109375" style="31" customWidth="1"/>
    <col min="107" max="108" width="15.140625" style="31" customWidth="1"/>
    <col min="109" max="110" width="7.140625" style="31" customWidth="1"/>
    <col min="111" max="112" width="15.140625" style="31" customWidth="1"/>
    <col min="113" max="113" width="48" style="31" customWidth="1"/>
    <col min="114" max="16384" width="9.140625" style="31"/>
  </cols>
  <sheetData>
    <row r="1" spans="1:74" x14ac:dyDescent="0.25">
      <c r="B1" t="s">
        <v>57</v>
      </c>
      <c r="F1" t="s">
        <v>57</v>
      </c>
      <c r="J1" t="s">
        <v>57</v>
      </c>
      <c r="N1" t="s">
        <v>57</v>
      </c>
      <c r="R1" t="s">
        <v>57</v>
      </c>
      <c r="V1" t="s">
        <v>57</v>
      </c>
      <c r="Z1" t="s">
        <v>57</v>
      </c>
      <c r="AD1" t="s">
        <v>57</v>
      </c>
      <c r="AH1" t="s">
        <v>58</v>
      </c>
      <c r="AJ1" t="s">
        <v>58</v>
      </c>
      <c r="AL1" t="s">
        <v>58</v>
      </c>
      <c r="AN1" t="s">
        <v>58</v>
      </c>
      <c r="AP1" t="s">
        <v>58</v>
      </c>
      <c r="AR1" t="s">
        <v>58</v>
      </c>
      <c r="AT1" t="s">
        <v>58</v>
      </c>
      <c r="AV1" t="s">
        <v>58</v>
      </c>
      <c r="AX1" t="s">
        <v>58</v>
      </c>
      <c r="AZ1" t="s">
        <v>58</v>
      </c>
      <c r="BB1" t="s">
        <v>58</v>
      </c>
      <c r="BD1" t="s">
        <v>58</v>
      </c>
      <c r="BF1" t="s">
        <v>58</v>
      </c>
      <c r="BH1" t="s">
        <v>58</v>
      </c>
      <c r="BJ1" t="s">
        <v>58</v>
      </c>
      <c r="BL1" t="s">
        <v>58</v>
      </c>
      <c r="BN1" t="s">
        <v>58</v>
      </c>
      <c r="BP1" t="s">
        <v>58</v>
      </c>
      <c r="BR1" t="s">
        <v>58</v>
      </c>
      <c r="BT1" t="s">
        <v>58</v>
      </c>
    </row>
    <row r="2" spans="1:74" x14ac:dyDescent="0.25">
      <c r="B2" t="s">
        <v>41</v>
      </c>
      <c r="F2" t="s">
        <v>41</v>
      </c>
      <c r="J2" t="s">
        <v>41</v>
      </c>
      <c r="N2" t="s">
        <v>41</v>
      </c>
      <c r="R2" t="s">
        <v>857</v>
      </c>
      <c r="V2" t="s">
        <v>857</v>
      </c>
      <c r="Z2" t="s">
        <v>857</v>
      </c>
      <c r="AD2" t="s">
        <v>857</v>
      </c>
      <c r="AH2" t="s">
        <v>857</v>
      </c>
      <c r="AJ2" t="s">
        <v>857</v>
      </c>
      <c r="AL2" t="s">
        <v>857</v>
      </c>
      <c r="AN2" t="s">
        <v>857</v>
      </c>
      <c r="AP2" t="s">
        <v>857</v>
      </c>
      <c r="AR2" t="s">
        <v>857</v>
      </c>
      <c r="AT2" t="s">
        <v>857</v>
      </c>
      <c r="AV2" t="s">
        <v>857</v>
      </c>
      <c r="AX2" t="s">
        <v>857</v>
      </c>
      <c r="AZ2" t="s">
        <v>857</v>
      </c>
      <c r="BB2" t="s">
        <v>41</v>
      </c>
      <c r="BD2" t="s">
        <v>41</v>
      </c>
      <c r="BF2" t="s">
        <v>41</v>
      </c>
      <c r="BH2" t="s">
        <v>41</v>
      </c>
      <c r="BJ2" t="s">
        <v>41</v>
      </c>
      <c r="BL2" t="s">
        <v>41</v>
      </c>
      <c r="BN2" t="s">
        <v>41</v>
      </c>
      <c r="BP2" t="s">
        <v>41</v>
      </c>
      <c r="BR2" t="s">
        <v>41</v>
      </c>
      <c r="BT2" t="s">
        <v>41</v>
      </c>
    </row>
    <row r="3" spans="1:74" x14ac:dyDescent="0.25">
      <c r="B3" t="s">
        <v>1115</v>
      </c>
      <c r="F3" t="s">
        <v>1116</v>
      </c>
      <c r="J3" s="90" t="s">
        <v>1115</v>
      </c>
      <c r="N3" s="90" t="s">
        <v>1116</v>
      </c>
      <c r="R3" t="s">
        <v>1115</v>
      </c>
      <c r="V3" t="s">
        <v>1116</v>
      </c>
      <c r="Z3" s="90" t="s">
        <v>1115</v>
      </c>
      <c r="AD3" s="90" t="s">
        <v>1116</v>
      </c>
      <c r="AH3" s="90" t="s">
        <v>1115</v>
      </c>
      <c r="AJ3" s="90" t="s">
        <v>1116</v>
      </c>
      <c r="AL3" s="90" t="s">
        <v>1115</v>
      </c>
      <c r="AN3" s="90" t="s">
        <v>1116</v>
      </c>
      <c r="AP3" s="90" t="s">
        <v>1115</v>
      </c>
      <c r="AR3" s="90" t="s">
        <v>1116</v>
      </c>
      <c r="AT3" s="90" t="s">
        <v>1115</v>
      </c>
      <c r="AV3" s="90" t="s">
        <v>1116</v>
      </c>
      <c r="AX3" s="90" t="s">
        <v>1115</v>
      </c>
      <c r="AZ3" s="90" t="s">
        <v>1116</v>
      </c>
      <c r="BB3" s="90" t="s">
        <v>1115</v>
      </c>
      <c r="BD3" s="90" t="s">
        <v>1116</v>
      </c>
      <c r="BF3" s="90" t="s">
        <v>1115</v>
      </c>
      <c r="BH3" s="90" t="s">
        <v>1116</v>
      </c>
      <c r="BJ3" s="90" t="s">
        <v>1115</v>
      </c>
      <c r="BL3" s="90" t="s">
        <v>1116</v>
      </c>
      <c r="BN3" s="90" t="s">
        <v>1115</v>
      </c>
      <c r="BP3" s="90" t="s">
        <v>1116</v>
      </c>
      <c r="BR3" s="90" t="s">
        <v>1115</v>
      </c>
      <c r="BT3" s="90" t="s">
        <v>1116</v>
      </c>
    </row>
    <row r="4" spans="1:74" x14ac:dyDescent="0.25">
      <c r="B4" t="s">
        <v>345</v>
      </c>
      <c r="F4" t="s">
        <v>345</v>
      </c>
      <c r="J4" s="90" t="s">
        <v>351</v>
      </c>
      <c r="N4" s="90" t="s">
        <v>351</v>
      </c>
      <c r="R4" t="s">
        <v>345</v>
      </c>
      <c r="V4" t="s">
        <v>345</v>
      </c>
      <c r="Z4" s="90" t="s">
        <v>351</v>
      </c>
      <c r="AD4" s="90" t="s">
        <v>351</v>
      </c>
      <c r="AH4" t="s">
        <v>346</v>
      </c>
      <c r="AJ4" t="s">
        <v>346</v>
      </c>
      <c r="AL4" s="90" t="s">
        <v>358</v>
      </c>
      <c r="AN4" s="90" t="s">
        <v>358</v>
      </c>
      <c r="AP4" s="90" t="s">
        <v>357</v>
      </c>
      <c r="AR4" s="90" t="s">
        <v>357</v>
      </c>
      <c r="AT4" s="90" t="s">
        <v>813</v>
      </c>
      <c r="AV4" s="90" t="s">
        <v>813</v>
      </c>
      <c r="AX4" s="90" t="s">
        <v>352</v>
      </c>
      <c r="AZ4" s="90" t="s">
        <v>352</v>
      </c>
      <c r="BB4" t="s">
        <v>345</v>
      </c>
      <c r="BD4" t="s">
        <v>345</v>
      </c>
      <c r="BF4" s="90" t="s">
        <v>357</v>
      </c>
      <c r="BH4" s="90" t="s">
        <v>357</v>
      </c>
      <c r="BJ4" s="90" t="s">
        <v>798</v>
      </c>
      <c r="BL4" s="90" t="s">
        <v>798</v>
      </c>
      <c r="BN4" s="90" t="s">
        <v>799</v>
      </c>
      <c r="BP4" s="90" t="s">
        <v>799</v>
      </c>
      <c r="BR4" s="90" t="s">
        <v>352</v>
      </c>
      <c r="BT4" s="90" t="s">
        <v>352</v>
      </c>
    </row>
    <row r="5" spans="1:74" customFormat="1" x14ac:dyDescent="0.25">
      <c r="B5" t="str">
        <f>B1&amp;B2&amp;B3&amp;B4</f>
        <v>AirCooledChillerCentrifugalALessthan150tons</v>
      </c>
      <c r="F5" t="str">
        <f>F1&amp;F2&amp;F3&amp;F4</f>
        <v>AirCooledChillerCentrifugalBLessthan150tons</v>
      </c>
      <c r="J5" t="str">
        <f>J1&amp;J2&amp;J3&amp;J4</f>
        <v>AirCooledChillerCentrifugalAGreaterthan150tons</v>
      </c>
      <c r="N5" t="str">
        <f>N1&amp;N2&amp;N3&amp;N4</f>
        <v>AirCooledChillerCentrifugalBGreaterthan150tons</v>
      </c>
      <c r="R5" t="str">
        <f>R1&amp;R2&amp;R3&amp;R4</f>
        <v>AirCooledChillerScrewScrollReciprocatingALessthan150tons</v>
      </c>
      <c r="V5" t="str">
        <f>V1&amp;V2&amp;V3&amp;V4</f>
        <v>AirCooledChillerScrewScrollReciprocatingBLessthan150tons</v>
      </c>
      <c r="Z5" t="str">
        <f>Z1&amp;Z2&amp;Z3&amp;Z4</f>
        <v>AirCooledChillerScrewScrollReciprocatingAGreaterthan150tons</v>
      </c>
      <c r="AD5" t="str">
        <f>AD1&amp;AD2&amp;AD3&amp;AD4</f>
        <v>AirCooledChillerScrewScrollReciprocatingBGreaterthan150tons</v>
      </c>
      <c r="AH5" t="str">
        <f>AH1&amp;AH2&amp;AH3&amp;AH4</f>
        <v>WaterCooledChillerScrewScrollReciprocatingALessthan75tons</v>
      </c>
      <c r="AJ5" t="str">
        <f>AJ1&amp;AJ2&amp;AJ3&amp;AJ4</f>
        <v>WaterCooledChillerScrewScrollReciprocatingBLessthan75tons</v>
      </c>
      <c r="AL5" t="str">
        <f>AL1&amp;AL2&amp;AL3&amp;AL4</f>
        <v>WaterCooledChillerScrewScrollReciprocatingA75to150tons</v>
      </c>
      <c r="AN5" t="str">
        <f>AN1&amp;AN2&amp;AN3&amp;AN4</f>
        <v>WaterCooledChillerScrewScrollReciprocatingB75to150tons</v>
      </c>
      <c r="AP5" t="str">
        <f>AP1&amp;AP2&amp;AP3&amp;AP4</f>
        <v>WaterCooledChillerScrewScrollReciprocatingA150to300tons</v>
      </c>
      <c r="AR5" t="str">
        <f>AR1&amp;AR2&amp;AR3&amp;AR4</f>
        <v>WaterCooledChillerScrewScrollReciprocatingB150to300tons</v>
      </c>
      <c r="AT5" t="str">
        <f>AT1&amp;AT2&amp;AT3&amp;AT4</f>
        <v>WaterCooledChillerScrewScrollReciprocatingA300to600tons</v>
      </c>
      <c r="AV5" t="str">
        <f>AV1&amp;AV2&amp;AV3&amp;AV4</f>
        <v>WaterCooledChillerScrewScrollReciprocatingB300to600tons</v>
      </c>
      <c r="AX5" t="str">
        <f>AX1&amp;AX2&amp;AX3&amp;AX4</f>
        <v>WaterCooledChillerScrewScrollReciprocatingAGreaterthan600tons</v>
      </c>
      <c r="AZ5" t="str">
        <f>AZ1&amp;AZ2&amp;AZ3&amp;AZ4</f>
        <v>WaterCooledChillerScrewScrollReciprocatingBGreaterthan600tons</v>
      </c>
      <c r="BB5" t="str">
        <f>BB1&amp;BB2&amp;BB3&amp;BB4</f>
        <v>WaterCooledChillerCentrifugalALessthan150tons</v>
      </c>
      <c r="BD5" t="str">
        <f>BD1&amp;BD2&amp;BD3&amp;BD4</f>
        <v>WaterCooledChillerCentrifugalBLessthan150tons</v>
      </c>
      <c r="BF5" t="str">
        <f>BF1&amp;BF2&amp;BF3&amp;BF4</f>
        <v>WaterCooledChillerCentrifugalA150to300tons</v>
      </c>
      <c r="BH5" t="str">
        <f>BH1&amp;BH2&amp;BH3&amp;BH4</f>
        <v>WaterCooledChillerCentrifugalB150to300tons</v>
      </c>
      <c r="BJ5" t="str">
        <f>BJ1&amp;BJ2&amp;BJ3&amp;BJ4</f>
        <v>WaterCooledChillerCentrifugalA300to400tons</v>
      </c>
      <c r="BL5" t="str">
        <f>BL1&amp;BL2&amp;BL3&amp;BL4</f>
        <v>WaterCooledChillerCentrifugalB300to400tons</v>
      </c>
      <c r="BN5" t="str">
        <f>BN1&amp;BN2&amp;BN3&amp;BN4</f>
        <v>WaterCooledChillerCentrifugalA400to600tons</v>
      </c>
      <c r="BP5" t="str">
        <f>BP1&amp;BP2&amp;BP3&amp;BP4</f>
        <v>WaterCooledChillerCentrifugalB400to600tons</v>
      </c>
      <c r="BR5" t="str">
        <f>BR1&amp;BR2&amp;BR3&amp;BR4</f>
        <v>WaterCooledChillerCentrifugalAGreaterthan600tons</v>
      </c>
      <c r="BT5" t="str">
        <f>BT1&amp;BT2&amp;BT3&amp;BT4</f>
        <v>WaterCooledChillerCentrifugalBGreaterthan600tons</v>
      </c>
    </row>
    <row r="6" spans="1:74" ht="17.25" customHeight="1" thickBot="1" x14ac:dyDescent="0.3">
      <c r="A6" s="208"/>
      <c r="B6" s="63" t="s">
        <v>33</v>
      </c>
      <c r="C6" s="62" t="s">
        <v>29</v>
      </c>
      <c r="D6" s="69" t="s">
        <v>33</v>
      </c>
      <c r="E6" s="70" t="s">
        <v>48</v>
      </c>
      <c r="F6" s="63" t="s">
        <v>33</v>
      </c>
      <c r="G6" s="62" t="s">
        <v>29</v>
      </c>
      <c r="H6" s="69" t="s">
        <v>33</v>
      </c>
      <c r="I6" s="70" t="s">
        <v>48</v>
      </c>
      <c r="J6" s="63" t="s">
        <v>33</v>
      </c>
      <c r="K6" s="62" t="s">
        <v>29</v>
      </c>
      <c r="L6" s="69" t="s">
        <v>33</v>
      </c>
      <c r="M6" s="70" t="s">
        <v>48</v>
      </c>
      <c r="N6" s="63" t="s">
        <v>33</v>
      </c>
      <c r="O6" s="62" t="s">
        <v>29</v>
      </c>
      <c r="P6" s="69" t="s">
        <v>33</v>
      </c>
      <c r="Q6" s="70" t="s">
        <v>48</v>
      </c>
      <c r="R6" s="63" t="s">
        <v>33</v>
      </c>
      <c r="S6" s="62" t="s">
        <v>29</v>
      </c>
      <c r="T6" s="69" t="s">
        <v>33</v>
      </c>
      <c r="U6" s="70" t="s">
        <v>48</v>
      </c>
      <c r="V6" s="63" t="s">
        <v>33</v>
      </c>
      <c r="W6" s="62" t="s">
        <v>29</v>
      </c>
      <c r="X6" s="69" t="s">
        <v>33</v>
      </c>
      <c r="Y6" s="70" t="s">
        <v>48</v>
      </c>
      <c r="Z6" s="63" t="s">
        <v>33</v>
      </c>
      <c r="AA6" s="62" t="s">
        <v>29</v>
      </c>
      <c r="AB6" s="69" t="s">
        <v>33</v>
      </c>
      <c r="AC6" s="70" t="s">
        <v>48</v>
      </c>
      <c r="AD6" s="63" t="s">
        <v>33</v>
      </c>
      <c r="AE6" s="62" t="s">
        <v>29</v>
      </c>
      <c r="AF6" s="69" t="s">
        <v>33</v>
      </c>
      <c r="AG6" s="70" t="s">
        <v>48</v>
      </c>
      <c r="AH6" s="69" t="s">
        <v>33</v>
      </c>
      <c r="AI6" s="70" t="s">
        <v>48</v>
      </c>
      <c r="AJ6" s="69" t="s">
        <v>33</v>
      </c>
      <c r="AK6" s="70" t="s">
        <v>48</v>
      </c>
      <c r="AL6" s="69" t="s">
        <v>33</v>
      </c>
      <c r="AM6" s="70" t="s">
        <v>48</v>
      </c>
      <c r="AN6" s="69" t="s">
        <v>33</v>
      </c>
      <c r="AO6" s="70" t="s">
        <v>48</v>
      </c>
      <c r="AP6" s="69" t="s">
        <v>33</v>
      </c>
      <c r="AQ6" s="70" t="s">
        <v>48</v>
      </c>
      <c r="AR6" s="69" t="s">
        <v>33</v>
      </c>
      <c r="AS6" s="70" t="s">
        <v>48</v>
      </c>
      <c r="AT6" s="69" t="s">
        <v>33</v>
      </c>
      <c r="AU6" s="70" t="s">
        <v>48</v>
      </c>
      <c r="AV6" s="69" t="s">
        <v>33</v>
      </c>
      <c r="AW6" s="70" t="s">
        <v>48</v>
      </c>
      <c r="AX6" s="69" t="s">
        <v>33</v>
      </c>
      <c r="AY6" s="70" t="s">
        <v>48</v>
      </c>
      <c r="AZ6" s="69" t="s">
        <v>33</v>
      </c>
      <c r="BA6" s="70" t="s">
        <v>48</v>
      </c>
      <c r="BB6" s="69" t="s">
        <v>33</v>
      </c>
      <c r="BC6" s="70" t="s">
        <v>48</v>
      </c>
      <c r="BD6" s="69" t="s">
        <v>33</v>
      </c>
      <c r="BE6" s="70" t="s">
        <v>48</v>
      </c>
      <c r="BF6" s="69" t="s">
        <v>33</v>
      </c>
      <c r="BG6" s="70" t="s">
        <v>48</v>
      </c>
      <c r="BH6" s="69" t="s">
        <v>33</v>
      </c>
      <c r="BI6" s="70" t="s">
        <v>48</v>
      </c>
      <c r="BJ6" s="69" t="s">
        <v>33</v>
      </c>
      <c r="BK6" s="70" t="s">
        <v>48</v>
      </c>
      <c r="BL6" s="69" t="s">
        <v>33</v>
      </c>
      <c r="BM6" s="70" t="s">
        <v>48</v>
      </c>
      <c r="BN6" s="69" t="s">
        <v>33</v>
      </c>
      <c r="BO6" s="70" t="s">
        <v>48</v>
      </c>
      <c r="BP6" s="69" t="s">
        <v>33</v>
      </c>
      <c r="BQ6" s="70" t="s">
        <v>48</v>
      </c>
      <c r="BR6" s="69" t="s">
        <v>33</v>
      </c>
      <c r="BS6" s="70" t="s">
        <v>48</v>
      </c>
      <c r="BT6" s="69" t="s">
        <v>33</v>
      </c>
      <c r="BU6" s="70" t="s">
        <v>48</v>
      </c>
      <c r="BV6" s="209"/>
    </row>
    <row r="7" spans="1:74" ht="14.25" customHeight="1" x14ac:dyDescent="0.25">
      <c r="A7" s="34" cm="1">
        <f t="array" ref="A7:A37">BaselineRow</f>
        <v>1997</v>
      </c>
      <c r="B7" s="136">
        <v>9.2119999999999997</v>
      </c>
      <c r="C7" s="140">
        <v>9.5540000000000003</v>
      </c>
      <c r="D7" s="138">
        <f t="shared" ref="D7:D33" si="0">12/B7</f>
        <v>1.302648719062093</v>
      </c>
      <c r="E7" s="139">
        <f t="shared" ref="E7:E33" si="1">12/C7</f>
        <v>1.2560184216035168</v>
      </c>
      <c r="F7" s="136">
        <v>9.2119999999999997</v>
      </c>
      <c r="G7" s="140">
        <v>9.5540000000000003</v>
      </c>
      <c r="H7" s="138">
        <f t="shared" ref="H7:H33" si="2">12/F7</f>
        <v>1.302648719062093</v>
      </c>
      <c r="I7" s="139">
        <f t="shared" ref="I7:I33" si="3">12/G7</f>
        <v>1.2560184216035168</v>
      </c>
      <c r="J7" s="137">
        <v>8.5299999999999994</v>
      </c>
      <c r="K7" s="141">
        <v>8.5299999999999994</v>
      </c>
      <c r="L7" s="138">
        <f t="shared" ref="L7:L33" si="4">12/J7</f>
        <v>1.4067995310668231</v>
      </c>
      <c r="M7" s="139">
        <f t="shared" ref="M7:M33" si="5">12/K7</f>
        <v>1.4067995310668231</v>
      </c>
      <c r="N7" s="137">
        <v>8.5299999999999994</v>
      </c>
      <c r="O7" s="141">
        <v>8.5299999999999994</v>
      </c>
      <c r="P7" s="138">
        <f t="shared" ref="P7:P33" si="6">12/N7</f>
        <v>1.4067995310668231</v>
      </c>
      <c r="Q7" s="139">
        <f t="shared" ref="Q7:Q33" si="7">12/O7</f>
        <v>1.4067995310668231</v>
      </c>
      <c r="R7" s="136">
        <v>9.2119999999999997</v>
      </c>
      <c r="S7" s="140">
        <v>9.5540000000000003</v>
      </c>
      <c r="T7" s="138">
        <f t="shared" ref="T7:T33" si="8">12/R7</f>
        <v>1.302648719062093</v>
      </c>
      <c r="U7" s="139">
        <f t="shared" ref="U7:U33" si="9">12/S7</f>
        <v>1.2560184216035168</v>
      </c>
      <c r="V7" s="136">
        <v>9.2119999999999997</v>
      </c>
      <c r="W7" s="140">
        <v>9.5540000000000003</v>
      </c>
      <c r="X7" s="138">
        <f t="shared" ref="X7:X37" si="10">12/V7</f>
        <v>1.302648719062093</v>
      </c>
      <c r="Y7" s="139">
        <f t="shared" ref="Y7:Y37" si="11">12/W7</f>
        <v>1.2560184216035168</v>
      </c>
      <c r="Z7" s="137">
        <v>8.5299999999999994</v>
      </c>
      <c r="AA7" s="141">
        <v>8.5299999999999994</v>
      </c>
      <c r="AB7" s="138">
        <f t="shared" ref="AB7:AB33" si="12">12/Z7</f>
        <v>1.4067995310668231</v>
      </c>
      <c r="AC7" s="139">
        <f t="shared" ref="AC7:AC33" si="13">12/AA7</f>
        <v>1.4067995310668231</v>
      </c>
      <c r="AD7" s="137">
        <v>8.5299999999999994</v>
      </c>
      <c r="AE7" s="141">
        <v>8.5299999999999994</v>
      </c>
      <c r="AF7" s="138">
        <f t="shared" ref="AF7:AF33" si="14">12/AD7</f>
        <v>1.4067995310668231</v>
      </c>
      <c r="AG7" s="139">
        <f t="shared" ref="AG7:AG33" si="15">12/AE7</f>
        <v>1.4067995310668231</v>
      </c>
      <c r="AH7" s="138">
        <v>0.92500000000000004</v>
      </c>
      <c r="AI7" s="139">
        <v>0.90200000000000002</v>
      </c>
      <c r="AJ7" s="138">
        <v>0.92500000000000004</v>
      </c>
      <c r="AK7" s="139">
        <v>0.90200000000000002</v>
      </c>
      <c r="AL7" s="138">
        <v>0.92500000000000004</v>
      </c>
      <c r="AM7" s="139">
        <v>0.90200000000000002</v>
      </c>
      <c r="AN7" s="138">
        <v>0.92500000000000004</v>
      </c>
      <c r="AO7" s="139">
        <v>0.90200000000000002</v>
      </c>
      <c r="AP7" s="138">
        <v>0.83699999999999997</v>
      </c>
      <c r="AQ7" s="139">
        <v>0.78100000000000003</v>
      </c>
      <c r="AR7" s="138">
        <v>0.83699999999999997</v>
      </c>
      <c r="AS7" s="139">
        <v>0.78100000000000003</v>
      </c>
      <c r="AT7" s="138">
        <v>0.748</v>
      </c>
      <c r="AU7" s="139">
        <v>0.73299999999999998</v>
      </c>
      <c r="AV7" s="138">
        <v>0.748</v>
      </c>
      <c r="AW7" s="139">
        <v>0.73299999999999998</v>
      </c>
      <c r="AX7" s="138">
        <v>0.748</v>
      </c>
      <c r="AY7" s="139">
        <v>0.73299999999999998</v>
      </c>
      <c r="AZ7" s="138">
        <v>0.748</v>
      </c>
      <c r="BA7" s="139">
        <v>0.73299999999999998</v>
      </c>
      <c r="BB7" s="138">
        <v>0.92500000000000004</v>
      </c>
      <c r="BC7" s="139">
        <v>0.90200000000000002</v>
      </c>
      <c r="BD7" s="138">
        <v>0.92500000000000004</v>
      </c>
      <c r="BE7" s="139">
        <v>0.90200000000000002</v>
      </c>
      <c r="BF7" s="138">
        <v>0.83699999999999997</v>
      </c>
      <c r="BG7" s="139">
        <v>0.78100000000000003</v>
      </c>
      <c r="BH7" s="138">
        <v>0.83699999999999997</v>
      </c>
      <c r="BI7" s="139">
        <v>0.78100000000000003</v>
      </c>
      <c r="BJ7" s="138">
        <v>0.748</v>
      </c>
      <c r="BK7" s="139">
        <v>0.73299999999999998</v>
      </c>
      <c r="BL7" s="138">
        <v>0.748</v>
      </c>
      <c r="BM7" s="139">
        <v>0.73299999999999998</v>
      </c>
      <c r="BN7" s="138">
        <v>0.748</v>
      </c>
      <c r="BO7" s="139">
        <v>0.73299999999999998</v>
      </c>
      <c r="BP7" s="138">
        <v>0.748</v>
      </c>
      <c r="BQ7" s="139">
        <v>0.73299999999999998</v>
      </c>
      <c r="BR7" s="138">
        <v>0.748</v>
      </c>
      <c r="BS7" s="139">
        <v>0.73299999999999998</v>
      </c>
      <c r="BT7" s="138">
        <v>0.748</v>
      </c>
      <c r="BU7" s="139">
        <v>0.73299999999999998</v>
      </c>
      <c r="BV7" s="12" t="s">
        <v>2</v>
      </c>
    </row>
    <row r="8" spans="1:74" ht="14.25" customHeight="1" x14ac:dyDescent="0.25">
      <c r="A8" s="34">
        <v>1998</v>
      </c>
      <c r="B8" s="136">
        <v>9.2119999999999997</v>
      </c>
      <c r="C8" s="140">
        <v>9.5540000000000003</v>
      </c>
      <c r="D8" s="138">
        <f t="shared" si="0"/>
        <v>1.302648719062093</v>
      </c>
      <c r="E8" s="139">
        <f t="shared" si="1"/>
        <v>1.2560184216035168</v>
      </c>
      <c r="F8" s="136">
        <v>9.2119999999999997</v>
      </c>
      <c r="G8" s="140">
        <v>9.5540000000000003</v>
      </c>
      <c r="H8" s="138">
        <f t="shared" si="2"/>
        <v>1.302648719062093</v>
      </c>
      <c r="I8" s="139">
        <f t="shared" si="3"/>
        <v>1.2560184216035168</v>
      </c>
      <c r="J8" s="137">
        <v>8.5299999999999994</v>
      </c>
      <c r="K8" s="141">
        <v>8.5299999999999994</v>
      </c>
      <c r="L8" s="138">
        <f t="shared" si="4"/>
        <v>1.4067995310668231</v>
      </c>
      <c r="M8" s="139">
        <f t="shared" si="5"/>
        <v>1.4067995310668231</v>
      </c>
      <c r="N8" s="137">
        <v>8.5299999999999994</v>
      </c>
      <c r="O8" s="141">
        <v>8.5299999999999994</v>
      </c>
      <c r="P8" s="138">
        <f t="shared" si="6"/>
        <v>1.4067995310668231</v>
      </c>
      <c r="Q8" s="139">
        <f t="shared" si="7"/>
        <v>1.4067995310668231</v>
      </c>
      <c r="R8" s="136">
        <v>9.2119999999999997</v>
      </c>
      <c r="S8" s="140">
        <v>9.5540000000000003</v>
      </c>
      <c r="T8" s="138">
        <f t="shared" si="8"/>
        <v>1.302648719062093</v>
      </c>
      <c r="U8" s="139">
        <f t="shared" si="9"/>
        <v>1.2560184216035168</v>
      </c>
      <c r="V8" s="136">
        <v>9.2119999999999997</v>
      </c>
      <c r="W8" s="140">
        <v>9.5540000000000003</v>
      </c>
      <c r="X8" s="138">
        <f t="shared" si="10"/>
        <v>1.302648719062093</v>
      </c>
      <c r="Y8" s="139">
        <f t="shared" si="11"/>
        <v>1.2560184216035168</v>
      </c>
      <c r="Z8" s="137">
        <v>8.5299999999999994</v>
      </c>
      <c r="AA8" s="141">
        <v>8.5299999999999994</v>
      </c>
      <c r="AB8" s="138">
        <f t="shared" si="12"/>
        <v>1.4067995310668231</v>
      </c>
      <c r="AC8" s="139">
        <f t="shared" si="13"/>
        <v>1.4067995310668231</v>
      </c>
      <c r="AD8" s="137">
        <v>8.5299999999999994</v>
      </c>
      <c r="AE8" s="141">
        <v>8.5299999999999994</v>
      </c>
      <c r="AF8" s="138">
        <f t="shared" si="14"/>
        <v>1.4067995310668231</v>
      </c>
      <c r="AG8" s="139">
        <f t="shared" si="15"/>
        <v>1.4067995310668231</v>
      </c>
      <c r="AH8" s="138">
        <v>0.92500000000000004</v>
      </c>
      <c r="AI8" s="139">
        <v>0.90200000000000002</v>
      </c>
      <c r="AJ8" s="138">
        <v>0.92500000000000004</v>
      </c>
      <c r="AK8" s="139">
        <v>0.90200000000000002</v>
      </c>
      <c r="AL8" s="138">
        <v>0.92500000000000004</v>
      </c>
      <c r="AM8" s="139">
        <v>0.90200000000000002</v>
      </c>
      <c r="AN8" s="138">
        <v>0.92500000000000004</v>
      </c>
      <c r="AO8" s="139">
        <v>0.90200000000000002</v>
      </c>
      <c r="AP8" s="138">
        <v>0.83699999999999997</v>
      </c>
      <c r="AQ8" s="139">
        <v>0.78100000000000003</v>
      </c>
      <c r="AR8" s="138">
        <v>0.83699999999999997</v>
      </c>
      <c r="AS8" s="139">
        <v>0.78100000000000003</v>
      </c>
      <c r="AT8" s="138">
        <v>0.748</v>
      </c>
      <c r="AU8" s="139">
        <v>0.73299999999999998</v>
      </c>
      <c r="AV8" s="138">
        <v>0.748</v>
      </c>
      <c r="AW8" s="139">
        <v>0.73299999999999998</v>
      </c>
      <c r="AX8" s="138">
        <v>0.748</v>
      </c>
      <c r="AY8" s="139">
        <v>0.73299999999999998</v>
      </c>
      <c r="AZ8" s="138">
        <v>0.748</v>
      </c>
      <c r="BA8" s="139">
        <v>0.73299999999999998</v>
      </c>
      <c r="BB8" s="138">
        <v>0.92500000000000004</v>
      </c>
      <c r="BC8" s="139">
        <v>0.90200000000000002</v>
      </c>
      <c r="BD8" s="138">
        <v>0.92500000000000004</v>
      </c>
      <c r="BE8" s="139">
        <v>0.90200000000000002</v>
      </c>
      <c r="BF8" s="138">
        <v>0.83699999999999997</v>
      </c>
      <c r="BG8" s="139">
        <v>0.78100000000000003</v>
      </c>
      <c r="BH8" s="138">
        <v>0.83699999999999997</v>
      </c>
      <c r="BI8" s="139">
        <v>0.78100000000000003</v>
      </c>
      <c r="BJ8" s="138">
        <v>0.748</v>
      </c>
      <c r="BK8" s="139">
        <v>0.73299999999999998</v>
      </c>
      <c r="BL8" s="138">
        <v>0.748</v>
      </c>
      <c r="BM8" s="139">
        <v>0.73299999999999998</v>
      </c>
      <c r="BN8" s="138">
        <v>0.748</v>
      </c>
      <c r="BO8" s="139">
        <v>0.73299999999999998</v>
      </c>
      <c r="BP8" s="138">
        <v>0.748</v>
      </c>
      <c r="BQ8" s="139">
        <v>0.73299999999999998</v>
      </c>
      <c r="BR8" s="138">
        <v>0.748</v>
      </c>
      <c r="BS8" s="139">
        <v>0.73299999999999998</v>
      </c>
      <c r="BT8" s="138">
        <v>0.748</v>
      </c>
      <c r="BU8" s="139">
        <v>0.73299999999999998</v>
      </c>
      <c r="BV8" s="12" t="s">
        <v>2</v>
      </c>
    </row>
    <row r="9" spans="1:74" ht="14.25" customHeight="1" x14ac:dyDescent="0.25">
      <c r="A9" s="34">
        <v>1999</v>
      </c>
      <c r="B9" s="136">
        <v>9.2119999999999997</v>
      </c>
      <c r="C9" s="140">
        <v>9.5540000000000003</v>
      </c>
      <c r="D9" s="138">
        <f t="shared" si="0"/>
        <v>1.302648719062093</v>
      </c>
      <c r="E9" s="139">
        <f t="shared" si="1"/>
        <v>1.2560184216035168</v>
      </c>
      <c r="F9" s="136">
        <v>9.2119999999999997</v>
      </c>
      <c r="G9" s="140">
        <v>9.5540000000000003</v>
      </c>
      <c r="H9" s="138">
        <f t="shared" si="2"/>
        <v>1.302648719062093</v>
      </c>
      <c r="I9" s="139">
        <f t="shared" si="3"/>
        <v>1.2560184216035168</v>
      </c>
      <c r="J9" s="137">
        <v>8.5299999999999994</v>
      </c>
      <c r="K9" s="141">
        <v>8.5299999999999994</v>
      </c>
      <c r="L9" s="138">
        <f t="shared" si="4"/>
        <v>1.4067995310668231</v>
      </c>
      <c r="M9" s="139">
        <f t="shared" si="5"/>
        <v>1.4067995310668231</v>
      </c>
      <c r="N9" s="137">
        <v>8.5299999999999994</v>
      </c>
      <c r="O9" s="141">
        <v>8.5299999999999994</v>
      </c>
      <c r="P9" s="138">
        <f t="shared" si="6"/>
        <v>1.4067995310668231</v>
      </c>
      <c r="Q9" s="139">
        <f t="shared" si="7"/>
        <v>1.4067995310668231</v>
      </c>
      <c r="R9" s="136">
        <v>9.2119999999999997</v>
      </c>
      <c r="S9" s="140">
        <v>9.5540000000000003</v>
      </c>
      <c r="T9" s="138">
        <f t="shared" si="8"/>
        <v>1.302648719062093</v>
      </c>
      <c r="U9" s="139">
        <f t="shared" si="9"/>
        <v>1.2560184216035168</v>
      </c>
      <c r="V9" s="136">
        <v>9.2119999999999997</v>
      </c>
      <c r="W9" s="140">
        <v>9.5540000000000003</v>
      </c>
      <c r="X9" s="138">
        <f t="shared" si="10"/>
        <v>1.302648719062093</v>
      </c>
      <c r="Y9" s="139">
        <f t="shared" si="11"/>
        <v>1.2560184216035168</v>
      </c>
      <c r="Z9" s="137">
        <v>8.5299999999999994</v>
      </c>
      <c r="AA9" s="141">
        <v>8.5299999999999994</v>
      </c>
      <c r="AB9" s="138">
        <f t="shared" si="12"/>
        <v>1.4067995310668231</v>
      </c>
      <c r="AC9" s="139">
        <f t="shared" si="13"/>
        <v>1.4067995310668231</v>
      </c>
      <c r="AD9" s="137">
        <v>8.5299999999999994</v>
      </c>
      <c r="AE9" s="141">
        <v>8.5299999999999994</v>
      </c>
      <c r="AF9" s="138">
        <f t="shared" si="14"/>
        <v>1.4067995310668231</v>
      </c>
      <c r="AG9" s="139">
        <f t="shared" si="15"/>
        <v>1.4067995310668231</v>
      </c>
      <c r="AH9" s="138">
        <v>0.92500000000000004</v>
      </c>
      <c r="AI9" s="139">
        <v>0.90200000000000002</v>
      </c>
      <c r="AJ9" s="138">
        <v>0.92500000000000004</v>
      </c>
      <c r="AK9" s="139">
        <v>0.90200000000000002</v>
      </c>
      <c r="AL9" s="138">
        <v>0.92500000000000004</v>
      </c>
      <c r="AM9" s="139">
        <v>0.90200000000000002</v>
      </c>
      <c r="AN9" s="138">
        <v>0.92500000000000004</v>
      </c>
      <c r="AO9" s="139">
        <v>0.90200000000000002</v>
      </c>
      <c r="AP9" s="138">
        <v>0.83699999999999997</v>
      </c>
      <c r="AQ9" s="139">
        <v>0.78100000000000003</v>
      </c>
      <c r="AR9" s="138">
        <v>0.83699999999999997</v>
      </c>
      <c r="AS9" s="139">
        <v>0.78100000000000003</v>
      </c>
      <c r="AT9" s="138">
        <v>0.748</v>
      </c>
      <c r="AU9" s="139">
        <v>0.73299999999999998</v>
      </c>
      <c r="AV9" s="138">
        <v>0.748</v>
      </c>
      <c r="AW9" s="139">
        <v>0.73299999999999998</v>
      </c>
      <c r="AX9" s="138">
        <v>0.748</v>
      </c>
      <c r="AY9" s="139">
        <v>0.73299999999999998</v>
      </c>
      <c r="AZ9" s="138">
        <v>0.748</v>
      </c>
      <c r="BA9" s="139">
        <v>0.73299999999999998</v>
      </c>
      <c r="BB9" s="138">
        <v>0.92500000000000004</v>
      </c>
      <c r="BC9" s="139">
        <v>0.90200000000000002</v>
      </c>
      <c r="BD9" s="138">
        <v>0.92500000000000004</v>
      </c>
      <c r="BE9" s="139">
        <v>0.90200000000000002</v>
      </c>
      <c r="BF9" s="138">
        <v>0.83699999999999997</v>
      </c>
      <c r="BG9" s="139">
        <v>0.78100000000000003</v>
      </c>
      <c r="BH9" s="138">
        <v>0.83699999999999997</v>
      </c>
      <c r="BI9" s="139">
        <v>0.78100000000000003</v>
      </c>
      <c r="BJ9" s="138">
        <v>0.748</v>
      </c>
      <c r="BK9" s="139">
        <v>0.73299999999999998</v>
      </c>
      <c r="BL9" s="138">
        <v>0.748</v>
      </c>
      <c r="BM9" s="139">
        <v>0.73299999999999998</v>
      </c>
      <c r="BN9" s="138">
        <v>0.748</v>
      </c>
      <c r="BO9" s="139">
        <v>0.73299999999999998</v>
      </c>
      <c r="BP9" s="138">
        <v>0.748</v>
      </c>
      <c r="BQ9" s="139">
        <v>0.73299999999999998</v>
      </c>
      <c r="BR9" s="138">
        <v>0.748</v>
      </c>
      <c r="BS9" s="139">
        <v>0.73299999999999998</v>
      </c>
      <c r="BT9" s="138">
        <v>0.748</v>
      </c>
      <c r="BU9" s="139">
        <v>0.73299999999999998</v>
      </c>
      <c r="BV9" s="12" t="s">
        <v>2</v>
      </c>
    </row>
    <row r="10" spans="1:74" ht="14.25" customHeight="1" x14ac:dyDescent="0.25">
      <c r="A10" s="34">
        <v>2000</v>
      </c>
      <c r="B10" s="136">
        <v>9.2119999999999997</v>
      </c>
      <c r="C10" s="140">
        <v>9.5540000000000003</v>
      </c>
      <c r="D10" s="138">
        <f t="shared" si="0"/>
        <v>1.302648719062093</v>
      </c>
      <c r="E10" s="139">
        <f t="shared" si="1"/>
        <v>1.2560184216035168</v>
      </c>
      <c r="F10" s="136">
        <v>9.2119999999999997</v>
      </c>
      <c r="G10" s="140">
        <v>9.5540000000000003</v>
      </c>
      <c r="H10" s="138">
        <f t="shared" si="2"/>
        <v>1.302648719062093</v>
      </c>
      <c r="I10" s="139">
        <f t="shared" si="3"/>
        <v>1.2560184216035168</v>
      </c>
      <c r="J10" s="137">
        <v>8.5299999999999994</v>
      </c>
      <c r="K10" s="141">
        <v>8.5299999999999994</v>
      </c>
      <c r="L10" s="138">
        <f t="shared" si="4"/>
        <v>1.4067995310668231</v>
      </c>
      <c r="M10" s="139">
        <f t="shared" si="5"/>
        <v>1.4067995310668231</v>
      </c>
      <c r="N10" s="137">
        <v>8.5299999999999994</v>
      </c>
      <c r="O10" s="141">
        <v>8.5299999999999994</v>
      </c>
      <c r="P10" s="138">
        <f t="shared" si="6"/>
        <v>1.4067995310668231</v>
      </c>
      <c r="Q10" s="139">
        <f t="shared" si="7"/>
        <v>1.4067995310668231</v>
      </c>
      <c r="R10" s="136">
        <v>9.2119999999999997</v>
      </c>
      <c r="S10" s="140">
        <v>9.5540000000000003</v>
      </c>
      <c r="T10" s="138">
        <f t="shared" si="8"/>
        <v>1.302648719062093</v>
      </c>
      <c r="U10" s="139">
        <f t="shared" si="9"/>
        <v>1.2560184216035168</v>
      </c>
      <c r="V10" s="136">
        <v>9.2119999999999997</v>
      </c>
      <c r="W10" s="140">
        <v>9.5540000000000003</v>
      </c>
      <c r="X10" s="138">
        <f t="shared" si="10"/>
        <v>1.302648719062093</v>
      </c>
      <c r="Y10" s="139">
        <f t="shared" si="11"/>
        <v>1.2560184216035168</v>
      </c>
      <c r="Z10" s="137">
        <v>8.5299999999999994</v>
      </c>
      <c r="AA10" s="141">
        <v>8.5299999999999994</v>
      </c>
      <c r="AB10" s="138">
        <f t="shared" si="12"/>
        <v>1.4067995310668231</v>
      </c>
      <c r="AC10" s="139">
        <f t="shared" si="13"/>
        <v>1.4067995310668231</v>
      </c>
      <c r="AD10" s="137">
        <v>8.5299999999999994</v>
      </c>
      <c r="AE10" s="141">
        <v>8.5299999999999994</v>
      </c>
      <c r="AF10" s="138">
        <f t="shared" si="14"/>
        <v>1.4067995310668231</v>
      </c>
      <c r="AG10" s="139">
        <f t="shared" si="15"/>
        <v>1.4067995310668231</v>
      </c>
      <c r="AH10" s="138">
        <v>0.92500000000000004</v>
      </c>
      <c r="AI10" s="139">
        <v>0.90200000000000002</v>
      </c>
      <c r="AJ10" s="138">
        <v>0.92500000000000004</v>
      </c>
      <c r="AK10" s="139">
        <v>0.90200000000000002</v>
      </c>
      <c r="AL10" s="138">
        <v>0.92500000000000004</v>
      </c>
      <c r="AM10" s="139">
        <v>0.90200000000000002</v>
      </c>
      <c r="AN10" s="138">
        <v>0.92500000000000004</v>
      </c>
      <c r="AO10" s="139">
        <v>0.90200000000000002</v>
      </c>
      <c r="AP10" s="138">
        <v>0.83699999999999997</v>
      </c>
      <c r="AQ10" s="139">
        <v>0.78100000000000003</v>
      </c>
      <c r="AR10" s="138">
        <v>0.83699999999999997</v>
      </c>
      <c r="AS10" s="139">
        <v>0.78100000000000003</v>
      </c>
      <c r="AT10" s="138">
        <v>0.748</v>
      </c>
      <c r="AU10" s="139">
        <v>0.73299999999999998</v>
      </c>
      <c r="AV10" s="138">
        <v>0.748</v>
      </c>
      <c r="AW10" s="139">
        <v>0.73299999999999998</v>
      </c>
      <c r="AX10" s="138">
        <v>0.748</v>
      </c>
      <c r="AY10" s="139">
        <v>0.73299999999999998</v>
      </c>
      <c r="AZ10" s="138">
        <v>0.748</v>
      </c>
      <c r="BA10" s="139">
        <v>0.73299999999999998</v>
      </c>
      <c r="BB10" s="138">
        <v>0.92500000000000004</v>
      </c>
      <c r="BC10" s="139">
        <v>0.90200000000000002</v>
      </c>
      <c r="BD10" s="138">
        <v>0.92500000000000004</v>
      </c>
      <c r="BE10" s="139">
        <v>0.90200000000000002</v>
      </c>
      <c r="BF10" s="138">
        <v>0.83699999999999997</v>
      </c>
      <c r="BG10" s="139">
        <v>0.78100000000000003</v>
      </c>
      <c r="BH10" s="138">
        <v>0.83699999999999997</v>
      </c>
      <c r="BI10" s="139">
        <v>0.78100000000000003</v>
      </c>
      <c r="BJ10" s="138">
        <v>0.748</v>
      </c>
      <c r="BK10" s="139">
        <v>0.73299999999999998</v>
      </c>
      <c r="BL10" s="138">
        <v>0.748</v>
      </c>
      <c r="BM10" s="139">
        <v>0.73299999999999998</v>
      </c>
      <c r="BN10" s="138">
        <v>0.748</v>
      </c>
      <c r="BO10" s="139">
        <v>0.73299999999999998</v>
      </c>
      <c r="BP10" s="138">
        <v>0.748</v>
      </c>
      <c r="BQ10" s="139">
        <v>0.73299999999999998</v>
      </c>
      <c r="BR10" s="138">
        <v>0.748</v>
      </c>
      <c r="BS10" s="139">
        <v>0.73299999999999998</v>
      </c>
      <c r="BT10" s="138">
        <v>0.748</v>
      </c>
      <c r="BU10" s="139">
        <v>0.73299999999999998</v>
      </c>
      <c r="BV10" s="12" t="s">
        <v>2</v>
      </c>
    </row>
    <row r="11" spans="1:74" ht="14.25" customHeight="1" x14ac:dyDescent="0.25">
      <c r="A11" s="34">
        <v>2001</v>
      </c>
      <c r="B11" s="136">
        <v>9.2119999999999997</v>
      </c>
      <c r="C11" s="140">
        <v>9.5540000000000003</v>
      </c>
      <c r="D11" s="138">
        <f t="shared" si="0"/>
        <v>1.302648719062093</v>
      </c>
      <c r="E11" s="139">
        <f t="shared" si="1"/>
        <v>1.2560184216035168</v>
      </c>
      <c r="F11" s="136">
        <v>9.2119999999999997</v>
      </c>
      <c r="G11" s="140">
        <v>9.5540000000000003</v>
      </c>
      <c r="H11" s="138">
        <f t="shared" si="2"/>
        <v>1.302648719062093</v>
      </c>
      <c r="I11" s="139">
        <f t="shared" si="3"/>
        <v>1.2560184216035168</v>
      </c>
      <c r="J11" s="137">
        <v>8.5299999999999994</v>
      </c>
      <c r="K11" s="141">
        <v>8.5299999999999994</v>
      </c>
      <c r="L11" s="138">
        <f t="shared" si="4"/>
        <v>1.4067995310668231</v>
      </c>
      <c r="M11" s="139">
        <f t="shared" si="5"/>
        <v>1.4067995310668231</v>
      </c>
      <c r="N11" s="137">
        <v>8.5299999999999994</v>
      </c>
      <c r="O11" s="141">
        <v>8.5299999999999994</v>
      </c>
      <c r="P11" s="138">
        <f t="shared" si="6"/>
        <v>1.4067995310668231</v>
      </c>
      <c r="Q11" s="139">
        <f t="shared" si="7"/>
        <v>1.4067995310668231</v>
      </c>
      <c r="R11" s="136">
        <v>9.2119999999999997</v>
      </c>
      <c r="S11" s="140">
        <v>9.5540000000000003</v>
      </c>
      <c r="T11" s="138">
        <f t="shared" si="8"/>
        <v>1.302648719062093</v>
      </c>
      <c r="U11" s="139">
        <f t="shared" si="9"/>
        <v>1.2560184216035168</v>
      </c>
      <c r="V11" s="136">
        <v>9.2119999999999997</v>
      </c>
      <c r="W11" s="140">
        <v>9.5540000000000003</v>
      </c>
      <c r="X11" s="138">
        <f t="shared" si="10"/>
        <v>1.302648719062093</v>
      </c>
      <c r="Y11" s="139">
        <f t="shared" si="11"/>
        <v>1.2560184216035168</v>
      </c>
      <c r="Z11" s="137">
        <v>8.5299999999999994</v>
      </c>
      <c r="AA11" s="141">
        <v>8.5299999999999994</v>
      </c>
      <c r="AB11" s="138">
        <f t="shared" si="12"/>
        <v>1.4067995310668231</v>
      </c>
      <c r="AC11" s="139">
        <f t="shared" si="13"/>
        <v>1.4067995310668231</v>
      </c>
      <c r="AD11" s="137">
        <v>8.5299999999999994</v>
      </c>
      <c r="AE11" s="141">
        <v>8.5299999999999994</v>
      </c>
      <c r="AF11" s="138">
        <f t="shared" si="14"/>
        <v>1.4067995310668231</v>
      </c>
      <c r="AG11" s="139">
        <f t="shared" si="15"/>
        <v>1.4067995310668231</v>
      </c>
      <c r="AH11" s="138">
        <v>0.92500000000000004</v>
      </c>
      <c r="AI11" s="139">
        <v>0.90200000000000002</v>
      </c>
      <c r="AJ11" s="138">
        <v>0.92500000000000004</v>
      </c>
      <c r="AK11" s="139">
        <v>0.90200000000000002</v>
      </c>
      <c r="AL11" s="138">
        <v>0.92500000000000004</v>
      </c>
      <c r="AM11" s="139">
        <v>0.90200000000000002</v>
      </c>
      <c r="AN11" s="138">
        <v>0.92500000000000004</v>
      </c>
      <c r="AO11" s="139">
        <v>0.90200000000000002</v>
      </c>
      <c r="AP11" s="138">
        <v>0.83699999999999997</v>
      </c>
      <c r="AQ11" s="139">
        <v>0.78100000000000003</v>
      </c>
      <c r="AR11" s="138">
        <v>0.83699999999999997</v>
      </c>
      <c r="AS11" s="139">
        <v>0.78100000000000003</v>
      </c>
      <c r="AT11" s="138">
        <v>0.748</v>
      </c>
      <c r="AU11" s="139">
        <v>0.73299999999999998</v>
      </c>
      <c r="AV11" s="138">
        <v>0.748</v>
      </c>
      <c r="AW11" s="139">
        <v>0.73299999999999998</v>
      </c>
      <c r="AX11" s="138">
        <v>0.748</v>
      </c>
      <c r="AY11" s="139">
        <v>0.73299999999999998</v>
      </c>
      <c r="AZ11" s="138">
        <v>0.748</v>
      </c>
      <c r="BA11" s="139">
        <v>0.73299999999999998</v>
      </c>
      <c r="BB11" s="138">
        <v>0.92500000000000004</v>
      </c>
      <c r="BC11" s="139">
        <v>0.90200000000000002</v>
      </c>
      <c r="BD11" s="138">
        <v>0.92500000000000004</v>
      </c>
      <c r="BE11" s="139">
        <v>0.90200000000000002</v>
      </c>
      <c r="BF11" s="138">
        <v>0.83699999999999997</v>
      </c>
      <c r="BG11" s="139">
        <v>0.78100000000000003</v>
      </c>
      <c r="BH11" s="138">
        <v>0.83699999999999997</v>
      </c>
      <c r="BI11" s="139">
        <v>0.78100000000000003</v>
      </c>
      <c r="BJ11" s="138">
        <v>0.748</v>
      </c>
      <c r="BK11" s="139">
        <v>0.73299999999999998</v>
      </c>
      <c r="BL11" s="138">
        <v>0.748</v>
      </c>
      <c r="BM11" s="139">
        <v>0.73299999999999998</v>
      </c>
      <c r="BN11" s="138">
        <v>0.748</v>
      </c>
      <c r="BO11" s="139">
        <v>0.73299999999999998</v>
      </c>
      <c r="BP11" s="138">
        <v>0.748</v>
      </c>
      <c r="BQ11" s="139">
        <v>0.73299999999999998</v>
      </c>
      <c r="BR11" s="138">
        <v>0.748</v>
      </c>
      <c r="BS11" s="139">
        <v>0.73299999999999998</v>
      </c>
      <c r="BT11" s="138">
        <v>0.748</v>
      </c>
      <c r="BU11" s="139">
        <v>0.73299999999999998</v>
      </c>
      <c r="BV11" s="61" t="s">
        <v>3</v>
      </c>
    </row>
    <row r="12" spans="1:74" ht="14.25" customHeight="1" x14ac:dyDescent="0.25">
      <c r="A12" s="34">
        <v>2002</v>
      </c>
      <c r="B12" s="136">
        <v>9.5619999999999994</v>
      </c>
      <c r="C12" s="140">
        <v>10.416</v>
      </c>
      <c r="D12" s="138">
        <f t="shared" si="0"/>
        <v>1.2549675800041833</v>
      </c>
      <c r="E12" s="139">
        <f t="shared" si="1"/>
        <v>1.1520737327188939</v>
      </c>
      <c r="F12" s="136">
        <v>9.5619999999999994</v>
      </c>
      <c r="G12" s="140">
        <v>10.416</v>
      </c>
      <c r="H12" s="138">
        <f t="shared" si="2"/>
        <v>1.2549675800041833</v>
      </c>
      <c r="I12" s="139">
        <f t="shared" si="3"/>
        <v>1.1520737327188939</v>
      </c>
      <c r="J12" s="137">
        <v>9.5619999999999994</v>
      </c>
      <c r="K12" s="141">
        <v>10.416</v>
      </c>
      <c r="L12" s="138">
        <f t="shared" si="4"/>
        <v>1.2549675800041833</v>
      </c>
      <c r="M12" s="139">
        <f t="shared" si="5"/>
        <v>1.1520737327188939</v>
      </c>
      <c r="N12" s="137">
        <v>9.5619999999999994</v>
      </c>
      <c r="O12" s="141">
        <v>10.416</v>
      </c>
      <c r="P12" s="138">
        <f t="shared" si="6"/>
        <v>1.2549675800041833</v>
      </c>
      <c r="Q12" s="139">
        <f t="shared" si="7"/>
        <v>1.1520737327188939</v>
      </c>
      <c r="R12" s="136">
        <v>9.5619999999999994</v>
      </c>
      <c r="S12" s="140">
        <v>10.416</v>
      </c>
      <c r="T12" s="138">
        <f t="shared" si="8"/>
        <v>1.2549675800041833</v>
      </c>
      <c r="U12" s="139">
        <f t="shared" si="9"/>
        <v>1.1520737327188939</v>
      </c>
      <c r="V12" s="136">
        <v>9.5619999999999994</v>
      </c>
      <c r="W12" s="140">
        <v>10.416</v>
      </c>
      <c r="X12" s="138">
        <f t="shared" si="10"/>
        <v>1.2549675800041833</v>
      </c>
      <c r="Y12" s="139">
        <f t="shared" si="11"/>
        <v>1.1520737327188939</v>
      </c>
      <c r="Z12" s="137">
        <v>9.5619999999999994</v>
      </c>
      <c r="AA12" s="141">
        <v>10.416</v>
      </c>
      <c r="AB12" s="138">
        <f t="shared" si="12"/>
        <v>1.2549675800041833</v>
      </c>
      <c r="AC12" s="139">
        <f t="shared" si="13"/>
        <v>1.1520737327188939</v>
      </c>
      <c r="AD12" s="137">
        <v>9.5619999999999994</v>
      </c>
      <c r="AE12" s="141">
        <v>10.416</v>
      </c>
      <c r="AF12" s="138">
        <f t="shared" si="14"/>
        <v>1.2549675800041833</v>
      </c>
      <c r="AG12" s="139">
        <f t="shared" si="15"/>
        <v>1.1520737327188939</v>
      </c>
      <c r="AH12" s="138">
        <v>0.79</v>
      </c>
      <c r="AI12" s="139">
        <v>0.67600000000000005</v>
      </c>
      <c r="AJ12" s="138">
        <v>0.79</v>
      </c>
      <c r="AK12" s="139">
        <v>0.67600000000000005</v>
      </c>
      <c r="AL12" s="138">
        <v>0.79</v>
      </c>
      <c r="AM12" s="139">
        <v>0.67600000000000005</v>
      </c>
      <c r="AN12" s="138">
        <v>0.79</v>
      </c>
      <c r="AO12" s="139">
        <v>0.67600000000000005</v>
      </c>
      <c r="AP12" s="138">
        <v>0.71799999999999997</v>
      </c>
      <c r="AQ12" s="139">
        <v>0.628</v>
      </c>
      <c r="AR12" s="138">
        <v>0.71799999999999997</v>
      </c>
      <c r="AS12" s="139">
        <v>0.628</v>
      </c>
      <c r="AT12" s="138">
        <v>0.63900000000000001</v>
      </c>
      <c r="AU12" s="139">
        <v>0.57199999999999995</v>
      </c>
      <c r="AV12" s="138">
        <v>0.63900000000000001</v>
      </c>
      <c r="AW12" s="139">
        <v>0.57199999999999995</v>
      </c>
      <c r="AX12" s="138">
        <v>0.63900000000000001</v>
      </c>
      <c r="AY12" s="139">
        <v>0.57199999999999995</v>
      </c>
      <c r="AZ12" s="138">
        <v>0.63900000000000001</v>
      </c>
      <c r="BA12" s="139">
        <v>0.57199999999999995</v>
      </c>
      <c r="BB12" s="138">
        <v>0.70299999999999996</v>
      </c>
      <c r="BC12" s="139">
        <v>0.67</v>
      </c>
      <c r="BD12" s="138">
        <v>0.70299999999999996</v>
      </c>
      <c r="BE12" s="139">
        <v>0.67</v>
      </c>
      <c r="BF12" s="138">
        <v>0.63400000000000001</v>
      </c>
      <c r="BG12" s="139">
        <v>0.59599999999999997</v>
      </c>
      <c r="BH12" s="138">
        <v>0.63400000000000001</v>
      </c>
      <c r="BI12" s="139">
        <v>0.59599999999999997</v>
      </c>
      <c r="BJ12" s="138">
        <v>0.57599999999999996</v>
      </c>
      <c r="BK12" s="139">
        <v>0.54900000000000004</v>
      </c>
      <c r="BL12" s="138">
        <v>0.57599999999999996</v>
      </c>
      <c r="BM12" s="139">
        <v>0.54900000000000004</v>
      </c>
      <c r="BN12" s="138">
        <v>0.57599999999999996</v>
      </c>
      <c r="BO12" s="139">
        <v>0.54900000000000004</v>
      </c>
      <c r="BP12" s="138">
        <v>0.57599999999999996</v>
      </c>
      <c r="BQ12" s="139">
        <v>0.54900000000000004</v>
      </c>
      <c r="BR12" s="138">
        <v>0.57599999999999996</v>
      </c>
      <c r="BS12" s="139">
        <v>0.54900000000000004</v>
      </c>
      <c r="BT12" s="138">
        <v>0.57599999999999996</v>
      </c>
      <c r="BU12" s="139">
        <v>0.54900000000000004</v>
      </c>
      <c r="BV12" s="61" t="s">
        <v>3</v>
      </c>
    </row>
    <row r="13" spans="1:74" ht="14.25" customHeight="1" x14ac:dyDescent="0.25">
      <c r="A13" s="34">
        <v>2003</v>
      </c>
      <c r="B13" s="136">
        <v>9.5619999999999994</v>
      </c>
      <c r="C13" s="140">
        <v>10.416</v>
      </c>
      <c r="D13" s="138">
        <f t="shared" si="0"/>
        <v>1.2549675800041833</v>
      </c>
      <c r="E13" s="139">
        <f t="shared" si="1"/>
        <v>1.1520737327188939</v>
      </c>
      <c r="F13" s="136">
        <v>9.5619999999999994</v>
      </c>
      <c r="G13" s="140">
        <v>10.416</v>
      </c>
      <c r="H13" s="138">
        <f t="shared" si="2"/>
        <v>1.2549675800041833</v>
      </c>
      <c r="I13" s="139">
        <f t="shared" si="3"/>
        <v>1.1520737327188939</v>
      </c>
      <c r="J13" s="137">
        <v>9.5619999999999994</v>
      </c>
      <c r="K13" s="141">
        <v>10.416</v>
      </c>
      <c r="L13" s="138">
        <f t="shared" si="4"/>
        <v>1.2549675800041833</v>
      </c>
      <c r="M13" s="139">
        <f t="shared" si="5"/>
        <v>1.1520737327188939</v>
      </c>
      <c r="N13" s="137">
        <v>9.5619999999999994</v>
      </c>
      <c r="O13" s="141">
        <v>10.416</v>
      </c>
      <c r="P13" s="138">
        <f t="shared" si="6"/>
        <v>1.2549675800041833</v>
      </c>
      <c r="Q13" s="139">
        <f t="shared" si="7"/>
        <v>1.1520737327188939</v>
      </c>
      <c r="R13" s="136">
        <v>9.5619999999999994</v>
      </c>
      <c r="S13" s="140">
        <v>10.416</v>
      </c>
      <c r="T13" s="138">
        <f t="shared" si="8"/>
        <v>1.2549675800041833</v>
      </c>
      <c r="U13" s="139">
        <f t="shared" si="9"/>
        <v>1.1520737327188939</v>
      </c>
      <c r="V13" s="136">
        <v>9.5619999999999994</v>
      </c>
      <c r="W13" s="140">
        <v>10.416</v>
      </c>
      <c r="X13" s="138">
        <f t="shared" si="10"/>
        <v>1.2549675800041833</v>
      </c>
      <c r="Y13" s="139">
        <f t="shared" si="11"/>
        <v>1.1520737327188939</v>
      </c>
      <c r="Z13" s="137">
        <v>9.5619999999999994</v>
      </c>
      <c r="AA13" s="141">
        <v>10.416</v>
      </c>
      <c r="AB13" s="138">
        <f t="shared" si="12"/>
        <v>1.2549675800041833</v>
      </c>
      <c r="AC13" s="139">
        <f t="shared" si="13"/>
        <v>1.1520737327188939</v>
      </c>
      <c r="AD13" s="137">
        <v>9.5619999999999994</v>
      </c>
      <c r="AE13" s="141">
        <v>10.416</v>
      </c>
      <c r="AF13" s="138">
        <f t="shared" si="14"/>
        <v>1.2549675800041833</v>
      </c>
      <c r="AG13" s="139">
        <f t="shared" si="15"/>
        <v>1.1520737327188939</v>
      </c>
      <c r="AH13" s="138">
        <v>0.79</v>
      </c>
      <c r="AI13" s="139">
        <v>0.67600000000000005</v>
      </c>
      <c r="AJ13" s="138">
        <v>0.79</v>
      </c>
      <c r="AK13" s="139">
        <v>0.67600000000000005</v>
      </c>
      <c r="AL13" s="138">
        <v>0.79</v>
      </c>
      <c r="AM13" s="139">
        <v>0.67600000000000005</v>
      </c>
      <c r="AN13" s="138">
        <v>0.79</v>
      </c>
      <c r="AO13" s="139">
        <v>0.67600000000000005</v>
      </c>
      <c r="AP13" s="138">
        <v>0.71799999999999997</v>
      </c>
      <c r="AQ13" s="139">
        <v>0.628</v>
      </c>
      <c r="AR13" s="138">
        <v>0.71799999999999997</v>
      </c>
      <c r="AS13" s="139">
        <v>0.628</v>
      </c>
      <c r="AT13" s="138">
        <v>0.63900000000000001</v>
      </c>
      <c r="AU13" s="139">
        <v>0.57199999999999995</v>
      </c>
      <c r="AV13" s="138">
        <v>0.63900000000000001</v>
      </c>
      <c r="AW13" s="139">
        <v>0.57199999999999995</v>
      </c>
      <c r="AX13" s="138">
        <v>0.63900000000000001</v>
      </c>
      <c r="AY13" s="139">
        <v>0.57199999999999995</v>
      </c>
      <c r="AZ13" s="138">
        <v>0.63900000000000001</v>
      </c>
      <c r="BA13" s="139">
        <v>0.57199999999999995</v>
      </c>
      <c r="BB13" s="138">
        <v>0.70299999999999996</v>
      </c>
      <c r="BC13" s="139">
        <v>0.67</v>
      </c>
      <c r="BD13" s="138">
        <v>0.70299999999999996</v>
      </c>
      <c r="BE13" s="139">
        <v>0.67</v>
      </c>
      <c r="BF13" s="138">
        <v>0.63400000000000001</v>
      </c>
      <c r="BG13" s="139">
        <v>0.59599999999999997</v>
      </c>
      <c r="BH13" s="138">
        <v>0.63400000000000001</v>
      </c>
      <c r="BI13" s="139">
        <v>0.59599999999999997</v>
      </c>
      <c r="BJ13" s="138">
        <v>0.57599999999999996</v>
      </c>
      <c r="BK13" s="139">
        <v>0.54900000000000004</v>
      </c>
      <c r="BL13" s="138">
        <v>0.57599999999999996</v>
      </c>
      <c r="BM13" s="139">
        <v>0.54900000000000004</v>
      </c>
      <c r="BN13" s="138">
        <v>0.57599999999999996</v>
      </c>
      <c r="BO13" s="139">
        <v>0.54900000000000004</v>
      </c>
      <c r="BP13" s="138">
        <v>0.57599999999999996</v>
      </c>
      <c r="BQ13" s="139">
        <v>0.54900000000000004</v>
      </c>
      <c r="BR13" s="138">
        <v>0.57599999999999996</v>
      </c>
      <c r="BS13" s="139">
        <v>0.54900000000000004</v>
      </c>
      <c r="BT13" s="138">
        <v>0.57599999999999996</v>
      </c>
      <c r="BU13" s="139">
        <v>0.54900000000000004</v>
      </c>
      <c r="BV13" s="61" t="s">
        <v>20</v>
      </c>
    </row>
    <row r="14" spans="1:74" ht="14.25" customHeight="1" x14ac:dyDescent="0.25">
      <c r="A14" s="34">
        <v>2004</v>
      </c>
      <c r="B14" s="136">
        <v>9.5619999999999994</v>
      </c>
      <c r="C14" s="141">
        <v>10.416</v>
      </c>
      <c r="D14" s="138">
        <f t="shared" si="0"/>
        <v>1.2549675800041833</v>
      </c>
      <c r="E14" s="139">
        <f t="shared" si="1"/>
        <v>1.1520737327188939</v>
      </c>
      <c r="F14" s="136">
        <v>9.5619999999999994</v>
      </c>
      <c r="G14" s="141">
        <v>10.416</v>
      </c>
      <c r="H14" s="138">
        <f t="shared" si="2"/>
        <v>1.2549675800041833</v>
      </c>
      <c r="I14" s="139">
        <f t="shared" si="3"/>
        <v>1.1520737327188939</v>
      </c>
      <c r="J14" s="136">
        <v>9.5619999999999994</v>
      </c>
      <c r="K14" s="141">
        <v>10.416</v>
      </c>
      <c r="L14" s="138">
        <f t="shared" si="4"/>
        <v>1.2549675800041833</v>
      </c>
      <c r="M14" s="139">
        <f t="shared" si="5"/>
        <v>1.1520737327188939</v>
      </c>
      <c r="N14" s="136">
        <v>9.5619999999999994</v>
      </c>
      <c r="O14" s="141">
        <v>10.416</v>
      </c>
      <c r="P14" s="138">
        <f t="shared" si="6"/>
        <v>1.2549675800041833</v>
      </c>
      <c r="Q14" s="139">
        <f t="shared" si="7"/>
        <v>1.1520737327188939</v>
      </c>
      <c r="R14" s="136">
        <v>9.5619999999999994</v>
      </c>
      <c r="S14" s="140">
        <v>10.416</v>
      </c>
      <c r="T14" s="138">
        <f t="shared" si="8"/>
        <v>1.2549675800041833</v>
      </c>
      <c r="U14" s="139">
        <f t="shared" si="9"/>
        <v>1.1520737327188939</v>
      </c>
      <c r="V14" s="136">
        <v>9.5619999999999994</v>
      </c>
      <c r="W14" s="140">
        <v>10.416</v>
      </c>
      <c r="X14" s="138">
        <f t="shared" si="10"/>
        <v>1.2549675800041833</v>
      </c>
      <c r="Y14" s="139">
        <f t="shared" si="11"/>
        <v>1.1520737327188939</v>
      </c>
      <c r="Z14" s="137">
        <v>9.5619999999999994</v>
      </c>
      <c r="AA14" s="141">
        <v>10.416</v>
      </c>
      <c r="AB14" s="138">
        <f t="shared" si="12"/>
        <v>1.2549675800041833</v>
      </c>
      <c r="AC14" s="139">
        <f t="shared" si="13"/>
        <v>1.1520737327188939</v>
      </c>
      <c r="AD14" s="137">
        <v>9.5619999999999994</v>
      </c>
      <c r="AE14" s="141">
        <v>10.416</v>
      </c>
      <c r="AF14" s="138">
        <f t="shared" si="14"/>
        <v>1.2549675800041833</v>
      </c>
      <c r="AG14" s="139">
        <f t="shared" si="15"/>
        <v>1.1520737327188939</v>
      </c>
      <c r="AH14" s="138">
        <v>0.79</v>
      </c>
      <c r="AI14" s="139">
        <v>0.67600000000000005</v>
      </c>
      <c r="AJ14" s="138">
        <v>0.79</v>
      </c>
      <c r="AK14" s="139">
        <v>0.67600000000000005</v>
      </c>
      <c r="AL14" s="138">
        <v>0.79</v>
      </c>
      <c r="AM14" s="139">
        <v>0.67600000000000005</v>
      </c>
      <c r="AN14" s="138">
        <v>0.79</v>
      </c>
      <c r="AO14" s="139">
        <v>0.67600000000000005</v>
      </c>
      <c r="AP14" s="138">
        <v>0.71799999999999997</v>
      </c>
      <c r="AQ14" s="139">
        <v>0.628</v>
      </c>
      <c r="AR14" s="138">
        <v>0.71799999999999997</v>
      </c>
      <c r="AS14" s="139">
        <v>0.628</v>
      </c>
      <c r="AT14" s="138">
        <v>0.63900000000000001</v>
      </c>
      <c r="AU14" s="139">
        <v>0.57199999999999995</v>
      </c>
      <c r="AV14" s="138">
        <v>0.63900000000000001</v>
      </c>
      <c r="AW14" s="139">
        <v>0.57199999999999995</v>
      </c>
      <c r="AX14" s="138">
        <v>0.63900000000000001</v>
      </c>
      <c r="AY14" s="139">
        <v>0.57199999999999995</v>
      </c>
      <c r="AZ14" s="138">
        <v>0.63900000000000001</v>
      </c>
      <c r="BA14" s="139">
        <v>0.57199999999999995</v>
      </c>
      <c r="BB14" s="138">
        <v>0.70299999999999996</v>
      </c>
      <c r="BC14" s="139">
        <v>0.67</v>
      </c>
      <c r="BD14" s="138">
        <v>0.70299999999999996</v>
      </c>
      <c r="BE14" s="139">
        <v>0.67</v>
      </c>
      <c r="BF14" s="138">
        <v>0.63400000000000001</v>
      </c>
      <c r="BG14" s="139">
        <v>0.59599999999999997</v>
      </c>
      <c r="BH14" s="138">
        <v>0.63400000000000001</v>
      </c>
      <c r="BI14" s="139">
        <v>0.59599999999999997</v>
      </c>
      <c r="BJ14" s="138">
        <v>0.57599999999999996</v>
      </c>
      <c r="BK14" s="139">
        <v>0.54900000000000004</v>
      </c>
      <c r="BL14" s="138">
        <v>0.57599999999999996</v>
      </c>
      <c r="BM14" s="139">
        <v>0.54900000000000004</v>
      </c>
      <c r="BN14" s="138">
        <v>0.57599999999999996</v>
      </c>
      <c r="BO14" s="139">
        <v>0.54900000000000004</v>
      </c>
      <c r="BP14" s="138">
        <v>0.57599999999999996</v>
      </c>
      <c r="BQ14" s="139">
        <v>0.54900000000000004</v>
      </c>
      <c r="BR14" s="138">
        <v>0.57599999999999996</v>
      </c>
      <c r="BS14" s="139">
        <v>0.54900000000000004</v>
      </c>
      <c r="BT14" s="138">
        <v>0.57599999999999996</v>
      </c>
      <c r="BU14" s="139">
        <v>0.54900000000000004</v>
      </c>
      <c r="BV14" s="61" t="s">
        <v>4</v>
      </c>
    </row>
    <row r="15" spans="1:74" ht="14.25" customHeight="1" x14ac:dyDescent="0.25">
      <c r="A15" s="34">
        <v>2005</v>
      </c>
      <c r="B15" s="136">
        <v>9.5619999999999994</v>
      </c>
      <c r="C15" s="141">
        <v>10.416</v>
      </c>
      <c r="D15" s="138">
        <f t="shared" si="0"/>
        <v>1.2549675800041833</v>
      </c>
      <c r="E15" s="139">
        <f t="shared" si="1"/>
        <v>1.1520737327188939</v>
      </c>
      <c r="F15" s="136">
        <v>9.5619999999999994</v>
      </c>
      <c r="G15" s="141">
        <v>10.416</v>
      </c>
      <c r="H15" s="138">
        <f t="shared" si="2"/>
        <v>1.2549675800041833</v>
      </c>
      <c r="I15" s="139">
        <f t="shared" si="3"/>
        <v>1.1520737327188939</v>
      </c>
      <c r="J15" s="136">
        <v>9.5619999999999994</v>
      </c>
      <c r="K15" s="141">
        <v>10.416</v>
      </c>
      <c r="L15" s="138">
        <f t="shared" si="4"/>
        <v>1.2549675800041833</v>
      </c>
      <c r="M15" s="139">
        <f t="shared" si="5"/>
        <v>1.1520737327188939</v>
      </c>
      <c r="N15" s="136">
        <v>9.5619999999999994</v>
      </c>
      <c r="O15" s="141">
        <v>10.416</v>
      </c>
      <c r="P15" s="138">
        <f t="shared" si="6"/>
        <v>1.2549675800041833</v>
      </c>
      <c r="Q15" s="139">
        <f t="shared" si="7"/>
        <v>1.1520737327188939</v>
      </c>
      <c r="R15" s="136">
        <v>9.5619999999999994</v>
      </c>
      <c r="S15" s="140">
        <v>10.416</v>
      </c>
      <c r="T15" s="138">
        <f t="shared" si="8"/>
        <v>1.2549675800041833</v>
      </c>
      <c r="U15" s="139">
        <f t="shared" si="9"/>
        <v>1.1520737327188939</v>
      </c>
      <c r="V15" s="136">
        <v>9.5619999999999994</v>
      </c>
      <c r="W15" s="140">
        <v>10.416</v>
      </c>
      <c r="X15" s="138">
        <f t="shared" si="10"/>
        <v>1.2549675800041833</v>
      </c>
      <c r="Y15" s="139">
        <f t="shared" si="11"/>
        <v>1.1520737327188939</v>
      </c>
      <c r="Z15" s="137">
        <v>9.5619999999999994</v>
      </c>
      <c r="AA15" s="141">
        <v>10.416</v>
      </c>
      <c r="AB15" s="138">
        <f t="shared" si="12"/>
        <v>1.2549675800041833</v>
      </c>
      <c r="AC15" s="139">
        <f t="shared" si="13"/>
        <v>1.1520737327188939</v>
      </c>
      <c r="AD15" s="137">
        <v>9.5619999999999994</v>
      </c>
      <c r="AE15" s="141">
        <v>10.416</v>
      </c>
      <c r="AF15" s="138">
        <f t="shared" si="14"/>
        <v>1.2549675800041833</v>
      </c>
      <c r="AG15" s="139">
        <f t="shared" si="15"/>
        <v>1.1520737327188939</v>
      </c>
      <c r="AH15" s="138">
        <v>0.79</v>
      </c>
      <c r="AI15" s="139">
        <v>0.67600000000000005</v>
      </c>
      <c r="AJ15" s="138">
        <v>0.79</v>
      </c>
      <c r="AK15" s="139">
        <v>0.67600000000000005</v>
      </c>
      <c r="AL15" s="138">
        <v>0.79</v>
      </c>
      <c r="AM15" s="139">
        <v>0.67600000000000005</v>
      </c>
      <c r="AN15" s="138">
        <v>0.79</v>
      </c>
      <c r="AO15" s="139">
        <v>0.67600000000000005</v>
      </c>
      <c r="AP15" s="138">
        <v>0.71799999999999997</v>
      </c>
      <c r="AQ15" s="139">
        <v>0.628</v>
      </c>
      <c r="AR15" s="138">
        <v>0.71799999999999997</v>
      </c>
      <c r="AS15" s="139">
        <v>0.628</v>
      </c>
      <c r="AT15" s="138">
        <v>0.63900000000000001</v>
      </c>
      <c r="AU15" s="139">
        <v>0.57199999999999995</v>
      </c>
      <c r="AV15" s="138">
        <v>0.63900000000000001</v>
      </c>
      <c r="AW15" s="139">
        <v>0.57199999999999995</v>
      </c>
      <c r="AX15" s="138">
        <v>0.63900000000000001</v>
      </c>
      <c r="AY15" s="139">
        <v>0.57199999999999995</v>
      </c>
      <c r="AZ15" s="138">
        <v>0.63900000000000001</v>
      </c>
      <c r="BA15" s="139">
        <v>0.57199999999999995</v>
      </c>
      <c r="BB15" s="138">
        <v>0.70299999999999996</v>
      </c>
      <c r="BC15" s="139">
        <v>0.67</v>
      </c>
      <c r="BD15" s="138">
        <v>0.70299999999999996</v>
      </c>
      <c r="BE15" s="139">
        <v>0.67</v>
      </c>
      <c r="BF15" s="138">
        <v>0.63400000000000001</v>
      </c>
      <c r="BG15" s="139">
        <v>0.59599999999999997</v>
      </c>
      <c r="BH15" s="138">
        <v>0.63400000000000001</v>
      </c>
      <c r="BI15" s="139">
        <v>0.59599999999999997</v>
      </c>
      <c r="BJ15" s="138">
        <v>0.57599999999999996</v>
      </c>
      <c r="BK15" s="139">
        <v>0.54900000000000004</v>
      </c>
      <c r="BL15" s="138">
        <v>0.57599999999999996</v>
      </c>
      <c r="BM15" s="139">
        <v>0.54900000000000004</v>
      </c>
      <c r="BN15" s="138">
        <v>0.57599999999999996</v>
      </c>
      <c r="BO15" s="139">
        <v>0.54900000000000004</v>
      </c>
      <c r="BP15" s="138">
        <v>0.57599999999999996</v>
      </c>
      <c r="BQ15" s="139">
        <v>0.54900000000000004</v>
      </c>
      <c r="BR15" s="138">
        <v>0.57599999999999996</v>
      </c>
      <c r="BS15" s="139">
        <v>0.54900000000000004</v>
      </c>
      <c r="BT15" s="138">
        <v>0.57599999999999996</v>
      </c>
      <c r="BU15" s="139">
        <v>0.54900000000000004</v>
      </c>
      <c r="BV15" s="61" t="s">
        <v>4</v>
      </c>
    </row>
    <row r="16" spans="1:74" ht="14.25" customHeight="1" x14ac:dyDescent="0.25">
      <c r="A16" s="34">
        <v>2006</v>
      </c>
      <c r="B16" s="136">
        <v>9.5619999999999994</v>
      </c>
      <c r="C16" s="141">
        <v>10.416</v>
      </c>
      <c r="D16" s="138">
        <f t="shared" si="0"/>
        <v>1.2549675800041833</v>
      </c>
      <c r="E16" s="139">
        <f t="shared" si="1"/>
        <v>1.1520737327188939</v>
      </c>
      <c r="F16" s="136">
        <v>9.5619999999999994</v>
      </c>
      <c r="G16" s="141">
        <v>10.416</v>
      </c>
      <c r="H16" s="138">
        <f t="shared" si="2"/>
        <v>1.2549675800041833</v>
      </c>
      <c r="I16" s="139">
        <f t="shared" si="3"/>
        <v>1.1520737327188939</v>
      </c>
      <c r="J16" s="136">
        <v>9.5619999999999994</v>
      </c>
      <c r="K16" s="141">
        <v>10.416</v>
      </c>
      <c r="L16" s="138">
        <f t="shared" si="4"/>
        <v>1.2549675800041833</v>
      </c>
      <c r="M16" s="139">
        <f t="shared" si="5"/>
        <v>1.1520737327188939</v>
      </c>
      <c r="N16" s="136">
        <v>9.5619999999999994</v>
      </c>
      <c r="O16" s="141">
        <v>10.416</v>
      </c>
      <c r="P16" s="138">
        <f t="shared" si="6"/>
        <v>1.2549675800041833</v>
      </c>
      <c r="Q16" s="139">
        <f t="shared" si="7"/>
        <v>1.1520737327188939</v>
      </c>
      <c r="R16" s="136">
        <v>9.5619999999999994</v>
      </c>
      <c r="S16" s="140">
        <v>10.416</v>
      </c>
      <c r="T16" s="138">
        <f t="shared" si="8"/>
        <v>1.2549675800041833</v>
      </c>
      <c r="U16" s="139">
        <f t="shared" si="9"/>
        <v>1.1520737327188939</v>
      </c>
      <c r="V16" s="136">
        <v>9.5619999999999994</v>
      </c>
      <c r="W16" s="140">
        <v>10.416</v>
      </c>
      <c r="X16" s="138">
        <f t="shared" si="10"/>
        <v>1.2549675800041833</v>
      </c>
      <c r="Y16" s="139">
        <f t="shared" si="11"/>
        <v>1.1520737327188939</v>
      </c>
      <c r="Z16" s="137">
        <v>9.5619999999999994</v>
      </c>
      <c r="AA16" s="141">
        <v>10.416</v>
      </c>
      <c r="AB16" s="138">
        <f t="shared" si="12"/>
        <v>1.2549675800041833</v>
      </c>
      <c r="AC16" s="139">
        <f t="shared" si="13"/>
        <v>1.1520737327188939</v>
      </c>
      <c r="AD16" s="137">
        <v>9.5619999999999994</v>
      </c>
      <c r="AE16" s="141">
        <v>10.416</v>
      </c>
      <c r="AF16" s="138">
        <f t="shared" si="14"/>
        <v>1.2549675800041833</v>
      </c>
      <c r="AG16" s="139">
        <f t="shared" si="15"/>
        <v>1.1520737327188939</v>
      </c>
      <c r="AH16" s="138">
        <v>0.79</v>
      </c>
      <c r="AI16" s="139">
        <v>0.67600000000000005</v>
      </c>
      <c r="AJ16" s="138">
        <v>0.79</v>
      </c>
      <c r="AK16" s="139">
        <v>0.67600000000000005</v>
      </c>
      <c r="AL16" s="138">
        <v>0.79</v>
      </c>
      <c r="AM16" s="139">
        <v>0.67600000000000005</v>
      </c>
      <c r="AN16" s="138">
        <v>0.79</v>
      </c>
      <c r="AO16" s="139">
        <v>0.67600000000000005</v>
      </c>
      <c r="AP16" s="138">
        <v>0.71799999999999997</v>
      </c>
      <c r="AQ16" s="139">
        <v>0.628</v>
      </c>
      <c r="AR16" s="138">
        <v>0.71799999999999997</v>
      </c>
      <c r="AS16" s="139">
        <v>0.628</v>
      </c>
      <c r="AT16" s="138">
        <v>0.63900000000000001</v>
      </c>
      <c r="AU16" s="139">
        <v>0.57199999999999995</v>
      </c>
      <c r="AV16" s="138">
        <v>0.63900000000000001</v>
      </c>
      <c r="AW16" s="139">
        <v>0.57199999999999995</v>
      </c>
      <c r="AX16" s="138">
        <v>0.63900000000000001</v>
      </c>
      <c r="AY16" s="139">
        <v>0.57199999999999995</v>
      </c>
      <c r="AZ16" s="138">
        <v>0.63900000000000001</v>
      </c>
      <c r="BA16" s="139">
        <v>0.57199999999999995</v>
      </c>
      <c r="BB16" s="138">
        <v>0.70299999999999996</v>
      </c>
      <c r="BC16" s="139">
        <v>0.67</v>
      </c>
      <c r="BD16" s="138">
        <v>0.70299999999999996</v>
      </c>
      <c r="BE16" s="139">
        <v>0.67</v>
      </c>
      <c r="BF16" s="138">
        <v>0.63400000000000001</v>
      </c>
      <c r="BG16" s="139">
        <v>0.59599999999999997</v>
      </c>
      <c r="BH16" s="138">
        <v>0.63400000000000001</v>
      </c>
      <c r="BI16" s="139">
        <v>0.59599999999999997</v>
      </c>
      <c r="BJ16" s="138">
        <v>0.57599999999999996</v>
      </c>
      <c r="BK16" s="139">
        <v>0.54900000000000004</v>
      </c>
      <c r="BL16" s="138">
        <v>0.57599999999999996</v>
      </c>
      <c r="BM16" s="139">
        <v>0.54900000000000004</v>
      </c>
      <c r="BN16" s="138">
        <v>0.57599999999999996</v>
      </c>
      <c r="BO16" s="139">
        <v>0.54900000000000004</v>
      </c>
      <c r="BP16" s="138">
        <v>0.57599999999999996</v>
      </c>
      <c r="BQ16" s="139">
        <v>0.54900000000000004</v>
      </c>
      <c r="BR16" s="138">
        <v>0.57599999999999996</v>
      </c>
      <c r="BS16" s="139">
        <v>0.54900000000000004</v>
      </c>
      <c r="BT16" s="138">
        <v>0.57599999999999996</v>
      </c>
      <c r="BU16" s="139">
        <v>0.54900000000000004</v>
      </c>
      <c r="BV16" s="61" t="s">
        <v>5</v>
      </c>
    </row>
    <row r="17" spans="1:74" ht="14.25" customHeight="1" x14ac:dyDescent="0.25">
      <c r="A17" s="34">
        <v>2007</v>
      </c>
      <c r="B17" s="136">
        <v>9.5619999999999994</v>
      </c>
      <c r="C17" s="141">
        <v>10.416</v>
      </c>
      <c r="D17" s="138">
        <f t="shared" si="0"/>
        <v>1.2549675800041833</v>
      </c>
      <c r="E17" s="139">
        <f t="shared" si="1"/>
        <v>1.1520737327188939</v>
      </c>
      <c r="F17" s="136">
        <v>9.5619999999999994</v>
      </c>
      <c r="G17" s="141">
        <v>10.416</v>
      </c>
      <c r="H17" s="138">
        <f t="shared" si="2"/>
        <v>1.2549675800041833</v>
      </c>
      <c r="I17" s="139">
        <f t="shared" si="3"/>
        <v>1.1520737327188939</v>
      </c>
      <c r="J17" s="136">
        <v>9.5619999999999994</v>
      </c>
      <c r="K17" s="141">
        <v>10.416</v>
      </c>
      <c r="L17" s="138">
        <f t="shared" si="4"/>
        <v>1.2549675800041833</v>
      </c>
      <c r="M17" s="139">
        <f t="shared" si="5"/>
        <v>1.1520737327188939</v>
      </c>
      <c r="N17" s="136">
        <v>9.5619999999999994</v>
      </c>
      <c r="O17" s="141">
        <v>10.416</v>
      </c>
      <c r="P17" s="138">
        <f t="shared" si="6"/>
        <v>1.2549675800041833</v>
      </c>
      <c r="Q17" s="139">
        <f t="shared" si="7"/>
        <v>1.1520737327188939</v>
      </c>
      <c r="R17" s="136">
        <v>9.5619999999999994</v>
      </c>
      <c r="S17" s="140">
        <v>10.416</v>
      </c>
      <c r="T17" s="138">
        <f t="shared" si="8"/>
        <v>1.2549675800041833</v>
      </c>
      <c r="U17" s="139">
        <f t="shared" si="9"/>
        <v>1.1520737327188939</v>
      </c>
      <c r="V17" s="136">
        <v>9.5619999999999994</v>
      </c>
      <c r="W17" s="140">
        <v>10.416</v>
      </c>
      <c r="X17" s="138">
        <f t="shared" si="10"/>
        <v>1.2549675800041833</v>
      </c>
      <c r="Y17" s="139">
        <f t="shared" si="11"/>
        <v>1.1520737327188939</v>
      </c>
      <c r="Z17" s="137">
        <v>9.5619999999999994</v>
      </c>
      <c r="AA17" s="141">
        <v>10.416</v>
      </c>
      <c r="AB17" s="138">
        <f t="shared" si="12"/>
        <v>1.2549675800041833</v>
      </c>
      <c r="AC17" s="139">
        <f t="shared" si="13"/>
        <v>1.1520737327188939</v>
      </c>
      <c r="AD17" s="137">
        <v>9.5619999999999994</v>
      </c>
      <c r="AE17" s="141">
        <v>10.416</v>
      </c>
      <c r="AF17" s="138">
        <f t="shared" si="14"/>
        <v>1.2549675800041833</v>
      </c>
      <c r="AG17" s="139">
        <f t="shared" si="15"/>
        <v>1.1520737327188939</v>
      </c>
      <c r="AH17" s="138">
        <v>0.79</v>
      </c>
      <c r="AI17" s="139">
        <v>0.67600000000000005</v>
      </c>
      <c r="AJ17" s="138">
        <v>0.79</v>
      </c>
      <c r="AK17" s="139">
        <v>0.67600000000000005</v>
      </c>
      <c r="AL17" s="138">
        <v>0.79</v>
      </c>
      <c r="AM17" s="139">
        <v>0.67600000000000005</v>
      </c>
      <c r="AN17" s="138">
        <v>0.79</v>
      </c>
      <c r="AO17" s="139">
        <v>0.67600000000000005</v>
      </c>
      <c r="AP17" s="138">
        <v>0.71799999999999997</v>
      </c>
      <c r="AQ17" s="139">
        <v>0.628</v>
      </c>
      <c r="AR17" s="138">
        <v>0.71799999999999997</v>
      </c>
      <c r="AS17" s="139">
        <v>0.628</v>
      </c>
      <c r="AT17" s="138">
        <v>0.63900000000000001</v>
      </c>
      <c r="AU17" s="139">
        <v>0.57199999999999995</v>
      </c>
      <c r="AV17" s="138">
        <v>0.63900000000000001</v>
      </c>
      <c r="AW17" s="139">
        <v>0.57199999999999995</v>
      </c>
      <c r="AX17" s="138">
        <v>0.63900000000000001</v>
      </c>
      <c r="AY17" s="139">
        <v>0.57199999999999995</v>
      </c>
      <c r="AZ17" s="138">
        <v>0.63900000000000001</v>
      </c>
      <c r="BA17" s="139">
        <v>0.57199999999999995</v>
      </c>
      <c r="BB17" s="138">
        <v>0.70299999999999996</v>
      </c>
      <c r="BC17" s="139">
        <v>0.67</v>
      </c>
      <c r="BD17" s="138">
        <v>0.70299999999999996</v>
      </c>
      <c r="BE17" s="139">
        <v>0.67</v>
      </c>
      <c r="BF17" s="138">
        <v>0.63400000000000001</v>
      </c>
      <c r="BG17" s="139">
        <v>0.59599999999999997</v>
      </c>
      <c r="BH17" s="138">
        <v>0.63400000000000001</v>
      </c>
      <c r="BI17" s="139">
        <v>0.59599999999999997</v>
      </c>
      <c r="BJ17" s="138">
        <v>0.57599999999999996</v>
      </c>
      <c r="BK17" s="139">
        <v>0.54900000000000004</v>
      </c>
      <c r="BL17" s="138">
        <v>0.57599999999999996</v>
      </c>
      <c r="BM17" s="139">
        <v>0.54900000000000004</v>
      </c>
      <c r="BN17" s="138">
        <v>0.57599999999999996</v>
      </c>
      <c r="BO17" s="139">
        <v>0.54900000000000004</v>
      </c>
      <c r="BP17" s="138">
        <v>0.57599999999999996</v>
      </c>
      <c r="BQ17" s="139">
        <v>0.54900000000000004</v>
      </c>
      <c r="BR17" s="138">
        <v>0.57599999999999996</v>
      </c>
      <c r="BS17" s="139">
        <v>0.54900000000000004</v>
      </c>
      <c r="BT17" s="138">
        <v>0.57599999999999996</v>
      </c>
      <c r="BU17" s="139">
        <v>0.54900000000000004</v>
      </c>
      <c r="BV17" s="61" t="s">
        <v>5</v>
      </c>
    </row>
    <row r="18" spans="1:74" ht="14.25" customHeight="1" x14ac:dyDescent="0.25">
      <c r="A18" s="34">
        <v>2008</v>
      </c>
      <c r="B18" s="136">
        <v>9.5619999999999994</v>
      </c>
      <c r="C18" s="141">
        <v>10.416</v>
      </c>
      <c r="D18" s="138">
        <f t="shared" si="0"/>
        <v>1.2549675800041833</v>
      </c>
      <c r="E18" s="139">
        <f t="shared" si="1"/>
        <v>1.1520737327188939</v>
      </c>
      <c r="F18" s="136">
        <v>9.5619999999999994</v>
      </c>
      <c r="G18" s="141">
        <v>10.416</v>
      </c>
      <c r="H18" s="138">
        <f t="shared" si="2"/>
        <v>1.2549675800041833</v>
      </c>
      <c r="I18" s="139">
        <f t="shared" si="3"/>
        <v>1.1520737327188939</v>
      </c>
      <c r="J18" s="136">
        <v>9.5619999999999994</v>
      </c>
      <c r="K18" s="141">
        <v>10.416</v>
      </c>
      <c r="L18" s="138">
        <f t="shared" si="4"/>
        <v>1.2549675800041833</v>
      </c>
      <c r="M18" s="139">
        <f t="shared" si="5"/>
        <v>1.1520737327188939</v>
      </c>
      <c r="N18" s="136">
        <v>9.5619999999999994</v>
      </c>
      <c r="O18" s="141">
        <v>10.416</v>
      </c>
      <c r="P18" s="138">
        <f t="shared" si="6"/>
        <v>1.2549675800041833</v>
      </c>
      <c r="Q18" s="139">
        <f t="shared" si="7"/>
        <v>1.1520737327188939</v>
      </c>
      <c r="R18" s="136">
        <v>9.5619999999999994</v>
      </c>
      <c r="S18" s="140">
        <v>10.416</v>
      </c>
      <c r="T18" s="138">
        <f t="shared" si="8"/>
        <v>1.2549675800041833</v>
      </c>
      <c r="U18" s="139">
        <f t="shared" si="9"/>
        <v>1.1520737327188939</v>
      </c>
      <c r="V18" s="136">
        <v>9.5619999999999994</v>
      </c>
      <c r="W18" s="140">
        <v>10.416</v>
      </c>
      <c r="X18" s="138">
        <f t="shared" si="10"/>
        <v>1.2549675800041833</v>
      </c>
      <c r="Y18" s="139">
        <f t="shared" si="11"/>
        <v>1.1520737327188939</v>
      </c>
      <c r="Z18" s="137">
        <v>9.5619999999999994</v>
      </c>
      <c r="AA18" s="141">
        <v>10.416</v>
      </c>
      <c r="AB18" s="138">
        <f t="shared" si="12"/>
        <v>1.2549675800041833</v>
      </c>
      <c r="AC18" s="139">
        <f t="shared" si="13"/>
        <v>1.1520737327188939</v>
      </c>
      <c r="AD18" s="137">
        <v>9.5619999999999994</v>
      </c>
      <c r="AE18" s="141">
        <v>10.416</v>
      </c>
      <c r="AF18" s="138">
        <f t="shared" si="14"/>
        <v>1.2549675800041833</v>
      </c>
      <c r="AG18" s="139">
        <f t="shared" si="15"/>
        <v>1.1520737327188939</v>
      </c>
      <c r="AH18" s="138">
        <v>0.79</v>
      </c>
      <c r="AI18" s="139">
        <v>0.67600000000000005</v>
      </c>
      <c r="AJ18" s="138">
        <v>0.79</v>
      </c>
      <c r="AK18" s="139">
        <v>0.67600000000000005</v>
      </c>
      <c r="AL18" s="138">
        <v>0.79</v>
      </c>
      <c r="AM18" s="139">
        <v>0.67600000000000005</v>
      </c>
      <c r="AN18" s="138">
        <v>0.79</v>
      </c>
      <c r="AO18" s="139">
        <v>0.67600000000000005</v>
      </c>
      <c r="AP18" s="138">
        <v>0.71799999999999997</v>
      </c>
      <c r="AQ18" s="139">
        <v>0.628</v>
      </c>
      <c r="AR18" s="138">
        <v>0.71799999999999997</v>
      </c>
      <c r="AS18" s="139">
        <v>0.628</v>
      </c>
      <c r="AT18" s="138">
        <v>0.63900000000000001</v>
      </c>
      <c r="AU18" s="139">
        <v>0.57199999999999995</v>
      </c>
      <c r="AV18" s="138">
        <v>0.63900000000000001</v>
      </c>
      <c r="AW18" s="139">
        <v>0.57199999999999995</v>
      </c>
      <c r="AX18" s="138">
        <v>0.63900000000000001</v>
      </c>
      <c r="AY18" s="139">
        <v>0.57199999999999995</v>
      </c>
      <c r="AZ18" s="138">
        <v>0.63900000000000001</v>
      </c>
      <c r="BA18" s="139">
        <v>0.57199999999999995</v>
      </c>
      <c r="BB18" s="138">
        <v>0.70299999999999996</v>
      </c>
      <c r="BC18" s="139">
        <v>0.67</v>
      </c>
      <c r="BD18" s="138">
        <v>0.70299999999999996</v>
      </c>
      <c r="BE18" s="139">
        <v>0.67</v>
      </c>
      <c r="BF18" s="138">
        <v>0.63400000000000001</v>
      </c>
      <c r="BG18" s="139">
        <v>0.59599999999999997</v>
      </c>
      <c r="BH18" s="138">
        <v>0.63400000000000001</v>
      </c>
      <c r="BI18" s="139">
        <v>0.59599999999999997</v>
      </c>
      <c r="BJ18" s="138">
        <v>0.57599999999999996</v>
      </c>
      <c r="BK18" s="139">
        <v>0.54900000000000004</v>
      </c>
      <c r="BL18" s="138">
        <v>0.57599999999999996</v>
      </c>
      <c r="BM18" s="139">
        <v>0.54900000000000004</v>
      </c>
      <c r="BN18" s="138">
        <v>0.57599999999999996</v>
      </c>
      <c r="BO18" s="139">
        <v>0.54900000000000004</v>
      </c>
      <c r="BP18" s="138">
        <v>0.57599999999999996</v>
      </c>
      <c r="BQ18" s="139">
        <v>0.54900000000000004</v>
      </c>
      <c r="BR18" s="138">
        <v>0.57599999999999996</v>
      </c>
      <c r="BS18" s="139">
        <v>0.54900000000000004</v>
      </c>
      <c r="BT18" s="138">
        <v>0.57599999999999996</v>
      </c>
      <c r="BU18" s="139">
        <v>0.54900000000000004</v>
      </c>
      <c r="BV18" s="61" t="s">
        <v>19</v>
      </c>
    </row>
    <row r="19" spans="1:74" ht="14.25" customHeight="1" x14ac:dyDescent="0.25">
      <c r="A19" s="34">
        <v>2009</v>
      </c>
      <c r="B19" s="136">
        <v>9.5619999999999994</v>
      </c>
      <c r="C19" s="141">
        <v>10.416</v>
      </c>
      <c r="D19" s="138">
        <f t="shared" si="0"/>
        <v>1.2549675800041833</v>
      </c>
      <c r="E19" s="139">
        <f t="shared" si="1"/>
        <v>1.1520737327188939</v>
      </c>
      <c r="F19" s="136">
        <v>9.5619999999999994</v>
      </c>
      <c r="G19" s="141">
        <v>10.416</v>
      </c>
      <c r="H19" s="138">
        <f t="shared" si="2"/>
        <v>1.2549675800041833</v>
      </c>
      <c r="I19" s="139">
        <f t="shared" si="3"/>
        <v>1.1520737327188939</v>
      </c>
      <c r="J19" s="136">
        <v>9.5619999999999994</v>
      </c>
      <c r="K19" s="141">
        <v>10.416</v>
      </c>
      <c r="L19" s="138">
        <f t="shared" si="4"/>
        <v>1.2549675800041833</v>
      </c>
      <c r="M19" s="139">
        <f t="shared" si="5"/>
        <v>1.1520737327188939</v>
      </c>
      <c r="N19" s="136">
        <v>9.5619999999999994</v>
      </c>
      <c r="O19" s="141">
        <v>10.416</v>
      </c>
      <c r="P19" s="138">
        <f t="shared" si="6"/>
        <v>1.2549675800041833</v>
      </c>
      <c r="Q19" s="139">
        <f t="shared" si="7"/>
        <v>1.1520737327188939</v>
      </c>
      <c r="R19" s="136">
        <v>9.5619999999999994</v>
      </c>
      <c r="S19" s="140">
        <v>10.416</v>
      </c>
      <c r="T19" s="138">
        <f t="shared" si="8"/>
        <v>1.2549675800041833</v>
      </c>
      <c r="U19" s="139">
        <f t="shared" si="9"/>
        <v>1.1520737327188939</v>
      </c>
      <c r="V19" s="136">
        <v>9.5619999999999994</v>
      </c>
      <c r="W19" s="140">
        <v>10.416</v>
      </c>
      <c r="X19" s="138">
        <f t="shared" si="10"/>
        <v>1.2549675800041833</v>
      </c>
      <c r="Y19" s="139">
        <f t="shared" si="11"/>
        <v>1.1520737327188939</v>
      </c>
      <c r="Z19" s="137">
        <v>9.5619999999999994</v>
      </c>
      <c r="AA19" s="141">
        <v>10.416</v>
      </c>
      <c r="AB19" s="138">
        <f t="shared" si="12"/>
        <v>1.2549675800041833</v>
      </c>
      <c r="AC19" s="139">
        <f t="shared" si="13"/>
        <v>1.1520737327188939</v>
      </c>
      <c r="AD19" s="137">
        <v>9.5619999999999994</v>
      </c>
      <c r="AE19" s="141">
        <v>10.416</v>
      </c>
      <c r="AF19" s="138">
        <f t="shared" si="14"/>
        <v>1.2549675800041833</v>
      </c>
      <c r="AG19" s="139">
        <f t="shared" si="15"/>
        <v>1.1520737327188939</v>
      </c>
      <c r="AH19" s="138">
        <v>0.79</v>
      </c>
      <c r="AI19" s="139">
        <v>0.67600000000000005</v>
      </c>
      <c r="AJ19" s="138">
        <v>0.79</v>
      </c>
      <c r="AK19" s="139">
        <v>0.67600000000000005</v>
      </c>
      <c r="AL19" s="138">
        <v>0.79</v>
      </c>
      <c r="AM19" s="139">
        <v>0.67600000000000005</v>
      </c>
      <c r="AN19" s="138">
        <v>0.79</v>
      </c>
      <c r="AO19" s="139">
        <v>0.67600000000000005</v>
      </c>
      <c r="AP19" s="138">
        <v>0.71799999999999997</v>
      </c>
      <c r="AQ19" s="139">
        <v>0.628</v>
      </c>
      <c r="AR19" s="138">
        <v>0.71799999999999997</v>
      </c>
      <c r="AS19" s="139">
        <v>0.628</v>
      </c>
      <c r="AT19" s="138">
        <v>0.63900000000000001</v>
      </c>
      <c r="AU19" s="139">
        <v>0.57199999999999995</v>
      </c>
      <c r="AV19" s="138">
        <v>0.63900000000000001</v>
      </c>
      <c r="AW19" s="139">
        <v>0.57199999999999995</v>
      </c>
      <c r="AX19" s="138">
        <v>0.63900000000000001</v>
      </c>
      <c r="AY19" s="139">
        <v>0.57199999999999995</v>
      </c>
      <c r="AZ19" s="138">
        <v>0.63900000000000001</v>
      </c>
      <c r="BA19" s="139">
        <v>0.57199999999999995</v>
      </c>
      <c r="BB19" s="138">
        <v>0.70299999999999996</v>
      </c>
      <c r="BC19" s="139">
        <v>0.67</v>
      </c>
      <c r="BD19" s="138">
        <v>0.70299999999999996</v>
      </c>
      <c r="BE19" s="139">
        <v>0.67</v>
      </c>
      <c r="BF19" s="138">
        <v>0.63400000000000001</v>
      </c>
      <c r="BG19" s="139">
        <v>0.59599999999999997</v>
      </c>
      <c r="BH19" s="138">
        <v>0.63400000000000001</v>
      </c>
      <c r="BI19" s="139">
        <v>0.59599999999999997</v>
      </c>
      <c r="BJ19" s="138">
        <v>0.57599999999999996</v>
      </c>
      <c r="BK19" s="139">
        <v>0.54900000000000004</v>
      </c>
      <c r="BL19" s="138">
        <v>0.57599999999999996</v>
      </c>
      <c r="BM19" s="139">
        <v>0.54900000000000004</v>
      </c>
      <c r="BN19" s="138">
        <v>0.57599999999999996</v>
      </c>
      <c r="BO19" s="139">
        <v>0.54900000000000004</v>
      </c>
      <c r="BP19" s="138">
        <v>0.57599999999999996</v>
      </c>
      <c r="BQ19" s="139">
        <v>0.54900000000000004</v>
      </c>
      <c r="BR19" s="138">
        <v>0.57599999999999996</v>
      </c>
      <c r="BS19" s="139">
        <v>0.54900000000000004</v>
      </c>
      <c r="BT19" s="138">
        <v>0.57599999999999996</v>
      </c>
      <c r="BU19" s="139">
        <v>0.54900000000000004</v>
      </c>
      <c r="BV19" s="61" t="s">
        <v>18</v>
      </c>
    </row>
    <row r="20" spans="1:74" ht="14.25" customHeight="1" x14ac:dyDescent="0.25">
      <c r="A20" s="34">
        <v>2010</v>
      </c>
      <c r="B20" s="136">
        <v>9.5619999999999994</v>
      </c>
      <c r="C20" s="141">
        <v>12.5</v>
      </c>
      <c r="D20" s="138">
        <f t="shared" si="0"/>
        <v>1.2549675800041833</v>
      </c>
      <c r="E20" s="139">
        <f t="shared" si="1"/>
        <v>0.96</v>
      </c>
      <c r="F20" s="136">
        <v>9.5619999999999994</v>
      </c>
      <c r="G20" s="141">
        <v>12.5</v>
      </c>
      <c r="H20" s="138">
        <f t="shared" si="2"/>
        <v>1.2549675800041833</v>
      </c>
      <c r="I20" s="139">
        <f t="shared" si="3"/>
        <v>0.96</v>
      </c>
      <c r="J20" s="136">
        <v>9.5619999999999994</v>
      </c>
      <c r="K20" s="141">
        <v>12.5</v>
      </c>
      <c r="L20" s="138">
        <f t="shared" si="4"/>
        <v>1.2549675800041833</v>
      </c>
      <c r="M20" s="139">
        <f t="shared" si="5"/>
        <v>0.96</v>
      </c>
      <c r="N20" s="136">
        <v>9.5619999999999994</v>
      </c>
      <c r="O20" s="141">
        <v>12.5</v>
      </c>
      <c r="P20" s="138">
        <f t="shared" si="6"/>
        <v>1.2549675800041833</v>
      </c>
      <c r="Q20" s="139">
        <f t="shared" si="7"/>
        <v>0.96</v>
      </c>
      <c r="R20" s="136">
        <v>9.5619999999999994</v>
      </c>
      <c r="S20" s="140">
        <v>12.5</v>
      </c>
      <c r="T20" s="138">
        <f t="shared" si="8"/>
        <v>1.2549675800041833</v>
      </c>
      <c r="U20" s="139">
        <f t="shared" si="9"/>
        <v>0.96</v>
      </c>
      <c r="V20" s="136">
        <v>9.5619999999999994</v>
      </c>
      <c r="W20" s="140">
        <v>12.5</v>
      </c>
      <c r="X20" s="138">
        <f t="shared" si="10"/>
        <v>1.2549675800041833</v>
      </c>
      <c r="Y20" s="139">
        <f t="shared" si="11"/>
        <v>0.96</v>
      </c>
      <c r="Z20" s="137">
        <v>9.5619999999999994</v>
      </c>
      <c r="AA20" s="141">
        <v>12.5</v>
      </c>
      <c r="AB20" s="138">
        <f t="shared" si="12"/>
        <v>1.2549675800041833</v>
      </c>
      <c r="AC20" s="139">
        <f t="shared" si="13"/>
        <v>0.96</v>
      </c>
      <c r="AD20" s="137">
        <v>9.5619999999999994</v>
      </c>
      <c r="AE20" s="141">
        <v>12.5</v>
      </c>
      <c r="AF20" s="138">
        <f t="shared" si="14"/>
        <v>1.2549675800041833</v>
      </c>
      <c r="AG20" s="139">
        <f t="shared" si="15"/>
        <v>0.96</v>
      </c>
      <c r="AH20" s="138">
        <v>0.78</v>
      </c>
      <c r="AI20" s="139">
        <v>0.63</v>
      </c>
      <c r="AJ20" s="138">
        <v>0.8</v>
      </c>
      <c r="AK20" s="139">
        <v>0.6</v>
      </c>
      <c r="AL20" s="138">
        <v>0.77500000000000002</v>
      </c>
      <c r="AM20" s="139">
        <v>0.61499999999999999</v>
      </c>
      <c r="AN20" s="138">
        <v>0.79</v>
      </c>
      <c r="AO20" s="139">
        <v>0.58599999999999997</v>
      </c>
      <c r="AP20" s="138">
        <v>0.68</v>
      </c>
      <c r="AQ20" s="139">
        <v>0.57999999999999996</v>
      </c>
      <c r="AR20" s="138">
        <v>0.71799999999999997</v>
      </c>
      <c r="AS20" s="139">
        <v>0.54</v>
      </c>
      <c r="AT20" s="138">
        <v>0.62</v>
      </c>
      <c r="AU20" s="139">
        <v>0.54</v>
      </c>
      <c r="AV20" s="138">
        <v>0.63900000000000001</v>
      </c>
      <c r="AW20" s="139">
        <v>0.49</v>
      </c>
      <c r="AX20" s="138">
        <v>0.62</v>
      </c>
      <c r="AY20" s="139">
        <v>0.54</v>
      </c>
      <c r="AZ20" s="138">
        <v>0.63900000000000001</v>
      </c>
      <c r="BA20" s="139">
        <v>0.49</v>
      </c>
      <c r="BB20" s="138">
        <v>0.63400000000000001</v>
      </c>
      <c r="BC20" s="139">
        <v>0.59599999999999997</v>
      </c>
      <c r="BD20" s="138">
        <v>0.63900000000000001</v>
      </c>
      <c r="BE20" s="139">
        <v>0.45</v>
      </c>
      <c r="BF20" s="138">
        <v>0.63400000000000001</v>
      </c>
      <c r="BG20" s="139">
        <v>0.59599999999999997</v>
      </c>
      <c r="BH20" s="138">
        <v>0.63900000000000001</v>
      </c>
      <c r="BI20" s="139">
        <v>0.45</v>
      </c>
      <c r="BJ20" s="138">
        <v>0.57599999999999996</v>
      </c>
      <c r="BK20" s="139">
        <v>0.54900000000000004</v>
      </c>
      <c r="BL20" s="138">
        <v>0.6</v>
      </c>
      <c r="BM20" s="139">
        <v>0.4</v>
      </c>
      <c r="BN20" s="138">
        <v>0.57599999999999996</v>
      </c>
      <c r="BO20" s="139">
        <v>0.54900000000000004</v>
      </c>
      <c r="BP20" s="138">
        <v>0.6</v>
      </c>
      <c r="BQ20" s="139">
        <v>0.4</v>
      </c>
      <c r="BR20" s="138">
        <v>0.56999999999999995</v>
      </c>
      <c r="BS20" s="139">
        <v>0.53900000000000003</v>
      </c>
      <c r="BT20" s="138">
        <v>0.59</v>
      </c>
      <c r="BU20" s="139">
        <v>0.4</v>
      </c>
      <c r="BV20" s="61" t="s">
        <v>18</v>
      </c>
    </row>
    <row r="21" spans="1:74" ht="14.25" customHeight="1" x14ac:dyDescent="0.25">
      <c r="A21" s="34">
        <v>2011</v>
      </c>
      <c r="B21" s="136">
        <v>9.5619999999999994</v>
      </c>
      <c r="C21" s="141">
        <v>12.5</v>
      </c>
      <c r="D21" s="138">
        <f t="shared" si="0"/>
        <v>1.2549675800041833</v>
      </c>
      <c r="E21" s="139">
        <f t="shared" si="1"/>
        <v>0.96</v>
      </c>
      <c r="F21" s="136">
        <v>9.5619999999999994</v>
      </c>
      <c r="G21" s="141">
        <v>12.5</v>
      </c>
      <c r="H21" s="138">
        <f t="shared" si="2"/>
        <v>1.2549675800041833</v>
      </c>
      <c r="I21" s="139">
        <f t="shared" si="3"/>
        <v>0.96</v>
      </c>
      <c r="J21" s="136">
        <v>9.5619999999999994</v>
      </c>
      <c r="K21" s="141">
        <v>12.5</v>
      </c>
      <c r="L21" s="138">
        <f t="shared" si="4"/>
        <v>1.2549675800041833</v>
      </c>
      <c r="M21" s="139">
        <f t="shared" si="5"/>
        <v>0.96</v>
      </c>
      <c r="N21" s="136">
        <v>9.5619999999999994</v>
      </c>
      <c r="O21" s="141">
        <v>12.5</v>
      </c>
      <c r="P21" s="138">
        <f t="shared" si="6"/>
        <v>1.2549675800041833</v>
      </c>
      <c r="Q21" s="139">
        <f t="shared" si="7"/>
        <v>0.96</v>
      </c>
      <c r="R21" s="136">
        <v>9.5619999999999994</v>
      </c>
      <c r="S21" s="140">
        <v>12.5</v>
      </c>
      <c r="T21" s="138">
        <f t="shared" si="8"/>
        <v>1.2549675800041833</v>
      </c>
      <c r="U21" s="139">
        <f t="shared" si="9"/>
        <v>0.96</v>
      </c>
      <c r="V21" s="136">
        <v>9.5619999999999994</v>
      </c>
      <c r="W21" s="140">
        <v>12.5</v>
      </c>
      <c r="X21" s="138">
        <f t="shared" si="10"/>
        <v>1.2549675800041833</v>
      </c>
      <c r="Y21" s="139">
        <f t="shared" si="11"/>
        <v>0.96</v>
      </c>
      <c r="Z21" s="137">
        <v>9.5619999999999994</v>
      </c>
      <c r="AA21" s="141">
        <v>12.5</v>
      </c>
      <c r="AB21" s="138">
        <f t="shared" si="12"/>
        <v>1.2549675800041833</v>
      </c>
      <c r="AC21" s="139">
        <f t="shared" si="13"/>
        <v>0.96</v>
      </c>
      <c r="AD21" s="137">
        <v>9.5619999999999994</v>
      </c>
      <c r="AE21" s="141">
        <v>12.5</v>
      </c>
      <c r="AF21" s="138">
        <f t="shared" si="14"/>
        <v>1.2549675800041833</v>
      </c>
      <c r="AG21" s="139">
        <f t="shared" si="15"/>
        <v>0.96</v>
      </c>
      <c r="AH21" s="138">
        <v>0.78</v>
      </c>
      <c r="AI21" s="139">
        <v>0.63</v>
      </c>
      <c r="AJ21" s="138">
        <v>0.8</v>
      </c>
      <c r="AK21" s="139">
        <v>0.6</v>
      </c>
      <c r="AL21" s="138">
        <v>0.77500000000000002</v>
      </c>
      <c r="AM21" s="139">
        <v>0.61499999999999999</v>
      </c>
      <c r="AN21" s="138">
        <v>0.79</v>
      </c>
      <c r="AO21" s="139">
        <v>0.58599999999999997</v>
      </c>
      <c r="AP21" s="138">
        <v>0.68</v>
      </c>
      <c r="AQ21" s="139">
        <v>0.57999999999999996</v>
      </c>
      <c r="AR21" s="138">
        <v>0.71799999999999997</v>
      </c>
      <c r="AS21" s="139">
        <v>0.54</v>
      </c>
      <c r="AT21" s="138">
        <v>0.62</v>
      </c>
      <c r="AU21" s="139">
        <v>0.54</v>
      </c>
      <c r="AV21" s="138">
        <v>0.63900000000000001</v>
      </c>
      <c r="AW21" s="139">
        <v>0.49</v>
      </c>
      <c r="AX21" s="138">
        <v>0.62</v>
      </c>
      <c r="AY21" s="139">
        <v>0.54</v>
      </c>
      <c r="AZ21" s="138">
        <v>0.63900000000000001</v>
      </c>
      <c r="BA21" s="139">
        <v>0.49</v>
      </c>
      <c r="BB21" s="138">
        <v>0.63400000000000001</v>
      </c>
      <c r="BC21" s="139">
        <v>0.59599999999999997</v>
      </c>
      <c r="BD21" s="138">
        <v>0.63900000000000001</v>
      </c>
      <c r="BE21" s="139">
        <v>0.45</v>
      </c>
      <c r="BF21" s="138">
        <v>0.63400000000000001</v>
      </c>
      <c r="BG21" s="139">
        <v>0.59599999999999997</v>
      </c>
      <c r="BH21" s="138">
        <v>0.63900000000000001</v>
      </c>
      <c r="BI21" s="139">
        <v>0.45</v>
      </c>
      <c r="BJ21" s="138">
        <v>0.57599999999999996</v>
      </c>
      <c r="BK21" s="139">
        <v>0.54900000000000004</v>
      </c>
      <c r="BL21" s="138">
        <v>0.6</v>
      </c>
      <c r="BM21" s="139">
        <v>0.4</v>
      </c>
      <c r="BN21" s="138">
        <v>0.57599999999999996</v>
      </c>
      <c r="BO21" s="139">
        <v>0.54900000000000004</v>
      </c>
      <c r="BP21" s="138">
        <v>0.6</v>
      </c>
      <c r="BQ21" s="139">
        <v>0.4</v>
      </c>
      <c r="BR21" s="138">
        <v>0.56999999999999995</v>
      </c>
      <c r="BS21" s="139">
        <v>0.53900000000000003</v>
      </c>
      <c r="BT21" s="138">
        <v>0.59</v>
      </c>
      <c r="BU21" s="139">
        <v>0.4</v>
      </c>
      <c r="BV21" s="61" t="s">
        <v>17</v>
      </c>
    </row>
    <row r="22" spans="1:74" ht="14.25" customHeight="1" x14ac:dyDescent="0.25">
      <c r="A22" s="34">
        <v>2012</v>
      </c>
      <c r="B22" s="136">
        <v>9.5619999999999994</v>
      </c>
      <c r="C22" s="141">
        <v>12.5</v>
      </c>
      <c r="D22" s="138">
        <f t="shared" si="0"/>
        <v>1.2549675800041833</v>
      </c>
      <c r="E22" s="139">
        <f t="shared" si="1"/>
        <v>0.96</v>
      </c>
      <c r="F22" s="136">
        <v>9.5619999999999994</v>
      </c>
      <c r="G22" s="141">
        <v>12.5</v>
      </c>
      <c r="H22" s="138">
        <f t="shared" si="2"/>
        <v>1.2549675800041833</v>
      </c>
      <c r="I22" s="139">
        <f t="shared" si="3"/>
        <v>0.96</v>
      </c>
      <c r="J22" s="136">
        <v>9.5619999999999994</v>
      </c>
      <c r="K22" s="141">
        <v>12.5</v>
      </c>
      <c r="L22" s="138">
        <f t="shared" si="4"/>
        <v>1.2549675800041833</v>
      </c>
      <c r="M22" s="139">
        <f t="shared" si="5"/>
        <v>0.96</v>
      </c>
      <c r="N22" s="136">
        <v>9.5619999999999994</v>
      </c>
      <c r="O22" s="141">
        <v>12.5</v>
      </c>
      <c r="P22" s="138">
        <f t="shared" si="6"/>
        <v>1.2549675800041833</v>
      </c>
      <c r="Q22" s="139">
        <f t="shared" si="7"/>
        <v>0.96</v>
      </c>
      <c r="R22" s="136">
        <v>9.5619999999999994</v>
      </c>
      <c r="S22" s="140">
        <v>12.5</v>
      </c>
      <c r="T22" s="138">
        <f t="shared" si="8"/>
        <v>1.2549675800041833</v>
      </c>
      <c r="U22" s="139">
        <f t="shared" si="9"/>
        <v>0.96</v>
      </c>
      <c r="V22" s="136">
        <v>9.5619999999999994</v>
      </c>
      <c r="W22" s="140">
        <v>12.5</v>
      </c>
      <c r="X22" s="138">
        <f t="shared" si="10"/>
        <v>1.2549675800041833</v>
      </c>
      <c r="Y22" s="139">
        <f t="shared" si="11"/>
        <v>0.96</v>
      </c>
      <c r="Z22" s="137">
        <v>9.5619999999999994</v>
      </c>
      <c r="AA22" s="141">
        <v>12.5</v>
      </c>
      <c r="AB22" s="138">
        <f t="shared" si="12"/>
        <v>1.2549675800041833</v>
      </c>
      <c r="AC22" s="139">
        <f t="shared" si="13"/>
        <v>0.96</v>
      </c>
      <c r="AD22" s="137">
        <v>9.5619999999999994</v>
      </c>
      <c r="AE22" s="141">
        <v>12.5</v>
      </c>
      <c r="AF22" s="138">
        <f t="shared" si="14"/>
        <v>1.2549675800041833</v>
      </c>
      <c r="AG22" s="139">
        <f t="shared" si="15"/>
        <v>0.96</v>
      </c>
      <c r="AH22" s="138">
        <v>0.78</v>
      </c>
      <c r="AI22" s="139">
        <v>0.63</v>
      </c>
      <c r="AJ22" s="138">
        <v>0.8</v>
      </c>
      <c r="AK22" s="139">
        <v>0.6</v>
      </c>
      <c r="AL22" s="138">
        <v>0.77500000000000002</v>
      </c>
      <c r="AM22" s="139">
        <v>0.61499999999999999</v>
      </c>
      <c r="AN22" s="138">
        <v>0.79</v>
      </c>
      <c r="AO22" s="139">
        <v>0.58599999999999997</v>
      </c>
      <c r="AP22" s="138">
        <v>0.68</v>
      </c>
      <c r="AQ22" s="139">
        <v>0.57999999999999996</v>
      </c>
      <c r="AR22" s="138">
        <v>0.71799999999999997</v>
      </c>
      <c r="AS22" s="139">
        <v>0.54</v>
      </c>
      <c r="AT22" s="138">
        <v>0.62</v>
      </c>
      <c r="AU22" s="139">
        <v>0.54</v>
      </c>
      <c r="AV22" s="138">
        <v>0.63900000000000001</v>
      </c>
      <c r="AW22" s="139">
        <v>0.49</v>
      </c>
      <c r="AX22" s="138">
        <v>0.62</v>
      </c>
      <c r="AY22" s="139">
        <v>0.54</v>
      </c>
      <c r="AZ22" s="138">
        <v>0.63900000000000001</v>
      </c>
      <c r="BA22" s="139">
        <v>0.49</v>
      </c>
      <c r="BB22" s="138">
        <v>0.63400000000000001</v>
      </c>
      <c r="BC22" s="139">
        <v>0.59599999999999997</v>
      </c>
      <c r="BD22" s="138">
        <v>0.63900000000000001</v>
      </c>
      <c r="BE22" s="139">
        <v>0.45</v>
      </c>
      <c r="BF22" s="138">
        <v>0.63400000000000001</v>
      </c>
      <c r="BG22" s="139">
        <v>0.59599999999999997</v>
      </c>
      <c r="BH22" s="138">
        <v>0.63900000000000001</v>
      </c>
      <c r="BI22" s="139">
        <v>0.45</v>
      </c>
      <c r="BJ22" s="138">
        <v>0.57599999999999996</v>
      </c>
      <c r="BK22" s="139">
        <v>0.54900000000000004</v>
      </c>
      <c r="BL22" s="138">
        <v>0.6</v>
      </c>
      <c r="BM22" s="139">
        <v>0.4</v>
      </c>
      <c r="BN22" s="138">
        <v>0.57599999999999996</v>
      </c>
      <c r="BO22" s="139">
        <v>0.54900000000000004</v>
      </c>
      <c r="BP22" s="138">
        <v>0.6</v>
      </c>
      <c r="BQ22" s="139">
        <v>0.4</v>
      </c>
      <c r="BR22" s="138">
        <v>0.56999999999999995</v>
      </c>
      <c r="BS22" s="139">
        <v>0.53900000000000003</v>
      </c>
      <c r="BT22" s="138">
        <v>0.59</v>
      </c>
      <c r="BU22" s="139">
        <v>0.4</v>
      </c>
      <c r="BV22" s="61" t="s">
        <v>16</v>
      </c>
    </row>
    <row r="23" spans="1:74" ht="14.25" customHeight="1" x14ac:dyDescent="0.25">
      <c r="A23" s="34">
        <v>2013</v>
      </c>
      <c r="B23" s="136">
        <v>9.5619999999999994</v>
      </c>
      <c r="C23" s="141">
        <v>12.5</v>
      </c>
      <c r="D23" s="138">
        <f t="shared" si="0"/>
        <v>1.2549675800041833</v>
      </c>
      <c r="E23" s="139">
        <f t="shared" si="1"/>
        <v>0.96</v>
      </c>
      <c r="F23" s="136">
        <v>9.5619999999999994</v>
      </c>
      <c r="G23" s="141">
        <v>12.5</v>
      </c>
      <c r="H23" s="138">
        <f t="shared" si="2"/>
        <v>1.2549675800041833</v>
      </c>
      <c r="I23" s="139">
        <f t="shared" si="3"/>
        <v>0.96</v>
      </c>
      <c r="J23" s="136">
        <v>9.5619999999999994</v>
      </c>
      <c r="K23" s="141">
        <v>12.5</v>
      </c>
      <c r="L23" s="138">
        <f t="shared" si="4"/>
        <v>1.2549675800041833</v>
      </c>
      <c r="M23" s="139">
        <f t="shared" si="5"/>
        <v>0.96</v>
      </c>
      <c r="N23" s="136">
        <v>9.5619999999999994</v>
      </c>
      <c r="O23" s="141">
        <v>12.5</v>
      </c>
      <c r="P23" s="138">
        <f t="shared" si="6"/>
        <v>1.2549675800041833</v>
      </c>
      <c r="Q23" s="139">
        <f t="shared" si="7"/>
        <v>0.96</v>
      </c>
      <c r="R23" s="136">
        <v>9.5619999999999994</v>
      </c>
      <c r="S23" s="140">
        <v>12.5</v>
      </c>
      <c r="T23" s="138">
        <f t="shared" si="8"/>
        <v>1.2549675800041833</v>
      </c>
      <c r="U23" s="139">
        <f t="shared" si="9"/>
        <v>0.96</v>
      </c>
      <c r="V23" s="136">
        <v>9.5619999999999994</v>
      </c>
      <c r="W23" s="140">
        <v>12.5</v>
      </c>
      <c r="X23" s="138">
        <f t="shared" si="10"/>
        <v>1.2549675800041833</v>
      </c>
      <c r="Y23" s="139">
        <f t="shared" si="11"/>
        <v>0.96</v>
      </c>
      <c r="Z23" s="137">
        <v>9.5619999999999994</v>
      </c>
      <c r="AA23" s="141">
        <v>12.5</v>
      </c>
      <c r="AB23" s="138">
        <f t="shared" si="12"/>
        <v>1.2549675800041833</v>
      </c>
      <c r="AC23" s="139">
        <f t="shared" si="13"/>
        <v>0.96</v>
      </c>
      <c r="AD23" s="137">
        <v>9.5619999999999994</v>
      </c>
      <c r="AE23" s="141">
        <v>12.5</v>
      </c>
      <c r="AF23" s="138">
        <f t="shared" si="14"/>
        <v>1.2549675800041833</v>
      </c>
      <c r="AG23" s="139">
        <f t="shared" si="15"/>
        <v>0.96</v>
      </c>
      <c r="AH23" s="138">
        <v>0.78</v>
      </c>
      <c r="AI23" s="139">
        <v>0.63</v>
      </c>
      <c r="AJ23" s="138">
        <v>0.8</v>
      </c>
      <c r="AK23" s="139">
        <v>0.6</v>
      </c>
      <c r="AL23" s="138">
        <v>0.77500000000000002</v>
      </c>
      <c r="AM23" s="139">
        <v>0.61499999999999999</v>
      </c>
      <c r="AN23" s="138">
        <v>0.79</v>
      </c>
      <c r="AO23" s="139">
        <v>0.58599999999999997</v>
      </c>
      <c r="AP23" s="138">
        <v>0.68</v>
      </c>
      <c r="AQ23" s="139">
        <v>0.57999999999999996</v>
      </c>
      <c r="AR23" s="138">
        <v>0.71799999999999997</v>
      </c>
      <c r="AS23" s="139">
        <v>0.54</v>
      </c>
      <c r="AT23" s="138">
        <v>0.62</v>
      </c>
      <c r="AU23" s="139">
        <v>0.54</v>
      </c>
      <c r="AV23" s="138">
        <v>0.63900000000000001</v>
      </c>
      <c r="AW23" s="139">
        <v>0.49</v>
      </c>
      <c r="AX23" s="138">
        <v>0.62</v>
      </c>
      <c r="AY23" s="139">
        <v>0.54</v>
      </c>
      <c r="AZ23" s="138">
        <v>0.63900000000000001</v>
      </c>
      <c r="BA23" s="139">
        <v>0.49</v>
      </c>
      <c r="BB23" s="138">
        <v>0.63400000000000001</v>
      </c>
      <c r="BC23" s="139">
        <v>0.59599999999999997</v>
      </c>
      <c r="BD23" s="138">
        <v>0.63900000000000001</v>
      </c>
      <c r="BE23" s="139">
        <v>0.45</v>
      </c>
      <c r="BF23" s="138">
        <v>0.63400000000000001</v>
      </c>
      <c r="BG23" s="139">
        <v>0.59599999999999997</v>
      </c>
      <c r="BH23" s="138">
        <v>0.63900000000000001</v>
      </c>
      <c r="BI23" s="139">
        <v>0.45</v>
      </c>
      <c r="BJ23" s="138">
        <v>0.57599999999999996</v>
      </c>
      <c r="BK23" s="139">
        <v>0.54900000000000004</v>
      </c>
      <c r="BL23" s="138">
        <v>0.6</v>
      </c>
      <c r="BM23" s="139">
        <v>0.4</v>
      </c>
      <c r="BN23" s="138">
        <v>0.57599999999999996</v>
      </c>
      <c r="BO23" s="139">
        <v>0.54900000000000004</v>
      </c>
      <c r="BP23" s="138">
        <v>0.6</v>
      </c>
      <c r="BQ23" s="139">
        <v>0.4</v>
      </c>
      <c r="BR23" s="138">
        <v>0.56999999999999995</v>
      </c>
      <c r="BS23" s="139">
        <v>0.53900000000000003</v>
      </c>
      <c r="BT23" s="138">
        <v>0.59</v>
      </c>
      <c r="BU23" s="139">
        <v>0.4</v>
      </c>
      <c r="BV23" s="61" t="s">
        <v>16</v>
      </c>
    </row>
    <row r="24" spans="1:74" ht="14.25" customHeight="1" x14ac:dyDescent="0.25">
      <c r="A24" s="34">
        <v>2014</v>
      </c>
      <c r="B24" s="136">
        <v>9.5619999999999994</v>
      </c>
      <c r="C24" s="141">
        <v>12.5</v>
      </c>
      <c r="D24" s="138">
        <f t="shared" si="0"/>
        <v>1.2549675800041833</v>
      </c>
      <c r="E24" s="139">
        <f t="shared" si="1"/>
        <v>0.96</v>
      </c>
      <c r="F24" s="136">
        <v>9.5619999999999994</v>
      </c>
      <c r="G24" s="141">
        <v>12.5</v>
      </c>
      <c r="H24" s="138">
        <f t="shared" si="2"/>
        <v>1.2549675800041833</v>
      </c>
      <c r="I24" s="139">
        <f t="shared" si="3"/>
        <v>0.96</v>
      </c>
      <c r="J24" s="136">
        <v>9.5619999999999994</v>
      </c>
      <c r="K24" s="141">
        <v>12.5</v>
      </c>
      <c r="L24" s="138">
        <f t="shared" si="4"/>
        <v>1.2549675800041833</v>
      </c>
      <c r="M24" s="139">
        <f t="shared" si="5"/>
        <v>0.96</v>
      </c>
      <c r="N24" s="136">
        <v>9.5619999999999994</v>
      </c>
      <c r="O24" s="141">
        <v>12.5</v>
      </c>
      <c r="P24" s="138">
        <f t="shared" si="6"/>
        <v>1.2549675800041833</v>
      </c>
      <c r="Q24" s="139">
        <f t="shared" si="7"/>
        <v>0.96</v>
      </c>
      <c r="R24" s="136">
        <v>9.5619999999999994</v>
      </c>
      <c r="S24" s="140">
        <v>12.5</v>
      </c>
      <c r="T24" s="138">
        <f t="shared" si="8"/>
        <v>1.2549675800041833</v>
      </c>
      <c r="U24" s="139">
        <f t="shared" si="9"/>
        <v>0.96</v>
      </c>
      <c r="V24" s="136">
        <v>9.5619999999999994</v>
      </c>
      <c r="W24" s="140">
        <v>12.5</v>
      </c>
      <c r="X24" s="138">
        <f t="shared" si="10"/>
        <v>1.2549675800041833</v>
      </c>
      <c r="Y24" s="139">
        <f t="shared" si="11"/>
        <v>0.96</v>
      </c>
      <c r="Z24" s="137">
        <v>9.5619999999999994</v>
      </c>
      <c r="AA24" s="141">
        <v>12.5</v>
      </c>
      <c r="AB24" s="138">
        <f t="shared" si="12"/>
        <v>1.2549675800041833</v>
      </c>
      <c r="AC24" s="139">
        <f t="shared" si="13"/>
        <v>0.96</v>
      </c>
      <c r="AD24" s="137">
        <v>9.5619999999999994</v>
      </c>
      <c r="AE24" s="141">
        <v>12.5</v>
      </c>
      <c r="AF24" s="138">
        <f t="shared" si="14"/>
        <v>1.2549675800041833</v>
      </c>
      <c r="AG24" s="139">
        <f t="shared" si="15"/>
        <v>0.96</v>
      </c>
      <c r="AH24" s="138">
        <v>0.78</v>
      </c>
      <c r="AI24" s="139">
        <v>0.63</v>
      </c>
      <c r="AJ24" s="138">
        <v>0.8</v>
      </c>
      <c r="AK24" s="139">
        <v>0.6</v>
      </c>
      <c r="AL24" s="138">
        <v>0.77500000000000002</v>
      </c>
      <c r="AM24" s="139">
        <v>0.61499999999999999</v>
      </c>
      <c r="AN24" s="138">
        <v>0.79</v>
      </c>
      <c r="AO24" s="139">
        <v>0.58599999999999997</v>
      </c>
      <c r="AP24" s="138">
        <v>0.68</v>
      </c>
      <c r="AQ24" s="139">
        <v>0.57999999999999996</v>
      </c>
      <c r="AR24" s="138">
        <v>0.71799999999999997</v>
      </c>
      <c r="AS24" s="139">
        <v>0.54</v>
      </c>
      <c r="AT24" s="138">
        <v>0.62</v>
      </c>
      <c r="AU24" s="139">
        <v>0.54</v>
      </c>
      <c r="AV24" s="138">
        <v>0.63900000000000001</v>
      </c>
      <c r="AW24" s="139">
        <v>0.49</v>
      </c>
      <c r="AX24" s="138">
        <v>0.62</v>
      </c>
      <c r="AY24" s="139">
        <v>0.54</v>
      </c>
      <c r="AZ24" s="138">
        <v>0.63900000000000001</v>
      </c>
      <c r="BA24" s="139">
        <v>0.49</v>
      </c>
      <c r="BB24" s="138">
        <v>0.63400000000000001</v>
      </c>
      <c r="BC24" s="139">
        <v>0.59599999999999997</v>
      </c>
      <c r="BD24" s="138">
        <v>0.63900000000000001</v>
      </c>
      <c r="BE24" s="139">
        <v>0.45</v>
      </c>
      <c r="BF24" s="138">
        <v>0.63400000000000001</v>
      </c>
      <c r="BG24" s="139">
        <v>0.59599999999999997</v>
      </c>
      <c r="BH24" s="138">
        <v>0.63900000000000001</v>
      </c>
      <c r="BI24" s="139">
        <v>0.45</v>
      </c>
      <c r="BJ24" s="138">
        <v>0.57599999999999996</v>
      </c>
      <c r="BK24" s="139">
        <v>0.54900000000000004</v>
      </c>
      <c r="BL24" s="138">
        <v>0.6</v>
      </c>
      <c r="BM24" s="139">
        <v>0.4</v>
      </c>
      <c r="BN24" s="138">
        <v>0.57599999999999996</v>
      </c>
      <c r="BO24" s="139">
        <v>0.54900000000000004</v>
      </c>
      <c r="BP24" s="138">
        <v>0.6</v>
      </c>
      <c r="BQ24" s="139">
        <v>0.4</v>
      </c>
      <c r="BR24" s="138">
        <v>0.56999999999999995</v>
      </c>
      <c r="BS24" s="139">
        <v>0.53900000000000003</v>
      </c>
      <c r="BT24" s="138">
        <v>0.59</v>
      </c>
      <c r="BU24" s="139">
        <v>0.4</v>
      </c>
      <c r="BV24" s="61" t="s">
        <v>16</v>
      </c>
    </row>
    <row r="25" spans="1:74" ht="14.25" customHeight="1" x14ac:dyDescent="0.25">
      <c r="A25" s="34">
        <v>2015</v>
      </c>
      <c r="B25" s="136">
        <v>9.5619999999999994</v>
      </c>
      <c r="C25" s="141">
        <v>12.5</v>
      </c>
      <c r="D25" s="138">
        <f t="shared" si="0"/>
        <v>1.2549675800041833</v>
      </c>
      <c r="E25" s="139">
        <f t="shared" si="1"/>
        <v>0.96</v>
      </c>
      <c r="F25" s="136">
        <v>9.5619999999999994</v>
      </c>
      <c r="G25" s="141">
        <v>12.5</v>
      </c>
      <c r="H25" s="138">
        <f t="shared" si="2"/>
        <v>1.2549675800041833</v>
      </c>
      <c r="I25" s="139">
        <f t="shared" si="3"/>
        <v>0.96</v>
      </c>
      <c r="J25" s="136">
        <v>9.5619999999999994</v>
      </c>
      <c r="K25" s="141">
        <v>12.5</v>
      </c>
      <c r="L25" s="138">
        <f t="shared" si="4"/>
        <v>1.2549675800041833</v>
      </c>
      <c r="M25" s="139">
        <f t="shared" si="5"/>
        <v>0.96</v>
      </c>
      <c r="N25" s="136">
        <v>9.5619999999999994</v>
      </c>
      <c r="O25" s="141">
        <v>12.5</v>
      </c>
      <c r="P25" s="138">
        <f t="shared" si="6"/>
        <v>1.2549675800041833</v>
      </c>
      <c r="Q25" s="139">
        <f t="shared" si="7"/>
        <v>0.96</v>
      </c>
      <c r="R25" s="136">
        <v>9.5619999999999994</v>
      </c>
      <c r="S25" s="140">
        <v>12.5</v>
      </c>
      <c r="T25" s="138">
        <f t="shared" si="8"/>
        <v>1.2549675800041833</v>
      </c>
      <c r="U25" s="139">
        <f t="shared" si="9"/>
        <v>0.96</v>
      </c>
      <c r="V25" s="136">
        <v>9.5619999999999994</v>
      </c>
      <c r="W25" s="140">
        <v>12.5</v>
      </c>
      <c r="X25" s="138">
        <f t="shared" si="10"/>
        <v>1.2549675800041833</v>
      </c>
      <c r="Y25" s="139">
        <f t="shared" si="11"/>
        <v>0.96</v>
      </c>
      <c r="Z25" s="137">
        <v>9.5619999999999994</v>
      </c>
      <c r="AA25" s="141">
        <v>12.5</v>
      </c>
      <c r="AB25" s="138">
        <f t="shared" si="12"/>
        <v>1.2549675800041833</v>
      </c>
      <c r="AC25" s="139">
        <f t="shared" si="13"/>
        <v>0.96</v>
      </c>
      <c r="AD25" s="137">
        <v>9.5619999999999994</v>
      </c>
      <c r="AE25" s="141">
        <v>12.5</v>
      </c>
      <c r="AF25" s="138">
        <f t="shared" si="14"/>
        <v>1.2549675800041833</v>
      </c>
      <c r="AG25" s="139">
        <f t="shared" si="15"/>
        <v>0.96</v>
      </c>
      <c r="AH25" s="138">
        <v>0.78</v>
      </c>
      <c r="AI25" s="139">
        <v>0.63</v>
      </c>
      <c r="AJ25" s="138">
        <v>0.8</v>
      </c>
      <c r="AK25" s="139">
        <v>0.6</v>
      </c>
      <c r="AL25" s="138">
        <v>0.77500000000000002</v>
      </c>
      <c r="AM25" s="139">
        <v>0.61499999999999999</v>
      </c>
      <c r="AN25" s="138">
        <v>0.79</v>
      </c>
      <c r="AO25" s="139">
        <v>0.58599999999999997</v>
      </c>
      <c r="AP25" s="138">
        <v>0.68</v>
      </c>
      <c r="AQ25" s="139">
        <v>0.57999999999999996</v>
      </c>
      <c r="AR25" s="138">
        <v>0.71799999999999997</v>
      </c>
      <c r="AS25" s="139">
        <v>0.54</v>
      </c>
      <c r="AT25" s="138">
        <v>0.62</v>
      </c>
      <c r="AU25" s="139">
        <v>0.54</v>
      </c>
      <c r="AV25" s="138">
        <v>0.63900000000000001</v>
      </c>
      <c r="AW25" s="139">
        <v>0.49</v>
      </c>
      <c r="AX25" s="138">
        <v>0.62</v>
      </c>
      <c r="AY25" s="139">
        <v>0.54</v>
      </c>
      <c r="AZ25" s="138">
        <v>0.63900000000000001</v>
      </c>
      <c r="BA25" s="139">
        <v>0.49</v>
      </c>
      <c r="BB25" s="138">
        <v>0.63400000000000001</v>
      </c>
      <c r="BC25" s="139">
        <v>0.59599999999999997</v>
      </c>
      <c r="BD25" s="138">
        <v>0.63900000000000001</v>
      </c>
      <c r="BE25" s="139">
        <v>0.45</v>
      </c>
      <c r="BF25" s="138">
        <v>0.63400000000000001</v>
      </c>
      <c r="BG25" s="139">
        <v>0.59599999999999997</v>
      </c>
      <c r="BH25" s="138">
        <v>0.63900000000000001</v>
      </c>
      <c r="BI25" s="139">
        <v>0.45</v>
      </c>
      <c r="BJ25" s="138">
        <v>0.57599999999999996</v>
      </c>
      <c r="BK25" s="139">
        <v>0.54900000000000004</v>
      </c>
      <c r="BL25" s="138">
        <v>0.6</v>
      </c>
      <c r="BM25" s="139">
        <v>0.4</v>
      </c>
      <c r="BN25" s="138">
        <v>0.57599999999999996</v>
      </c>
      <c r="BO25" s="139">
        <v>0.54900000000000004</v>
      </c>
      <c r="BP25" s="138">
        <v>0.6</v>
      </c>
      <c r="BQ25" s="139">
        <v>0.4</v>
      </c>
      <c r="BR25" s="138">
        <v>0.56999999999999995</v>
      </c>
      <c r="BS25" s="139">
        <v>0.53900000000000003</v>
      </c>
      <c r="BT25" s="138">
        <v>0.59</v>
      </c>
      <c r="BU25" s="139">
        <v>0.4</v>
      </c>
      <c r="BV25" s="61"/>
    </row>
    <row r="26" spans="1:74" ht="14.25" customHeight="1" x14ac:dyDescent="0.25">
      <c r="A26" s="34">
        <v>2016</v>
      </c>
      <c r="B26" s="136">
        <v>9.5619999999999994</v>
      </c>
      <c r="C26" s="141">
        <v>12.5</v>
      </c>
      <c r="D26" s="138">
        <f t="shared" si="0"/>
        <v>1.2549675800041833</v>
      </c>
      <c r="E26" s="139">
        <f t="shared" si="1"/>
        <v>0.96</v>
      </c>
      <c r="F26" s="136">
        <v>9.5619999999999994</v>
      </c>
      <c r="G26" s="141">
        <v>12.5</v>
      </c>
      <c r="H26" s="138">
        <f t="shared" si="2"/>
        <v>1.2549675800041833</v>
      </c>
      <c r="I26" s="139">
        <f t="shared" si="3"/>
        <v>0.96</v>
      </c>
      <c r="J26" s="136">
        <v>9.5619999999999994</v>
      </c>
      <c r="K26" s="141">
        <v>12.5</v>
      </c>
      <c r="L26" s="138">
        <f t="shared" si="4"/>
        <v>1.2549675800041833</v>
      </c>
      <c r="M26" s="139">
        <f t="shared" si="5"/>
        <v>0.96</v>
      </c>
      <c r="N26" s="136">
        <v>9.5619999999999994</v>
      </c>
      <c r="O26" s="141">
        <v>12.5</v>
      </c>
      <c r="P26" s="138">
        <f t="shared" si="6"/>
        <v>1.2549675800041833</v>
      </c>
      <c r="Q26" s="139">
        <f t="shared" si="7"/>
        <v>0.96</v>
      </c>
      <c r="R26" s="136">
        <v>9.5619999999999994</v>
      </c>
      <c r="S26" s="140">
        <v>12.5</v>
      </c>
      <c r="T26" s="138">
        <f t="shared" si="8"/>
        <v>1.2549675800041833</v>
      </c>
      <c r="U26" s="139">
        <f t="shared" si="9"/>
        <v>0.96</v>
      </c>
      <c r="V26" s="136">
        <v>9.5619999999999994</v>
      </c>
      <c r="W26" s="140">
        <v>12.5</v>
      </c>
      <c r="X26" s="138">
        <f t="shared" si="10"/>
        <v>1.2549675800041833</v>
      </c>
      <c r="Y26" s="139">
        <f t="shared" si="11"/>
        <v>0.96</v>
      </c>
      <c r="Z26" s="137">
        <v>9.5619999999999994</v>
      </c>
      <c r="AA26" s="141">
        <v>12.5</v>
      </c>
      <c r="AB26" s="138">
        <f t="shared" si="12"/>
        <v>1.2549675800041833</v>
      </c>
      <c r="AC26" s="139">
        <f t="shared" si="13"/>
        <v>0.96</v>
      </c>
      <c r="AD26" s="137">
        <v>9.5619999999999994</v>
      </c>
      <c r="AE26" s="141">
        <v>12.5</v>
      </c>
      <c r="AF26" s="138">
        <f t="shared" si="14"/>
        <v>1.2549675800041833</v>
      </c>
      <c r="AG26" s="139">
        <f t="shared" si="15"/>
        <v>0.96</v>
      </c>
      <c r="AH26" s="138">
        <v>0.78</v>
      </c>
      <c r="AI26" s="139">
        <v>0.63</v>
      </c>
      <c r="AJ26" s="138">
        <v>0.8</v>
      </c>
      <c r="AK26" s="139">
        <v>0.6</v>
      </c>
      <c r="AL26" s="138">
        <v>0.77500000000000002</v>
      </c>
      <c r="AM26" s="139">
        <v>0.61499999999999999</v>
      </c>
      <c r="AN26" s="138">
        <v>0.79</v>
      </c>
      <c r="AO26" s="139">
        <v>0.58599999999999997</v>
      </c>
      <c r="AP26" s="138">
        <v>0.68</v>
      </c>
      <c r="AQ26" s="139">
        <v>0.57999999999999996</v>
      </c>
      <c r="AR26" s="138">
        <v>0.71799999999999997</v>
      </c>
      <c r="AS26" s="139">
        <v>0.54</v>
      </c>
      <c r="AT26" s="138">
        <v>0.62</v>
      </c>
      <c r="AU26" s="139">
        <v>0.54</v>
      </c>
      <c r="AV26" s="138">
        <v>0.63900000000000001</v>
      </c>
      <c r="AW26" s="139">
        <v>0.49</v>
      </c>
      <c r="AX26" s="138">
        <v>0.62</v>
      </c>
      <c r="AY26" s="139">
        <v>0.54</v>
      </c>
      <c r="AZ26" s="138">
        <v>0.63900000000000001</v>
      </c>
      <c r="BA26" s="139">
        <v>0.49</v>
      </c>
      <c r="BB26" s="138">
        <v>0.63400000000000001</v>
      </c>
      <c r="BC26" s="139">
        <v>0.59599999999999997</v>
      </c>
      <c r="BD26" s="138">
        <v>0.63900000000000001</v>
      </c>
      <c r="BE26" s="139">
        <v>0.45</v>
      </c>
      <c r="BF26" s="138">
        <v>0.63400000000000001</v>
      </c>
      <c r="BG26" s="139">
        <v>0.59599999999999997</v>
      </c>
      <c r="BH26" s="138">
        <v>0.63900000000000001</v>
      </c>
      <c r="BI26" s="139">
        <v>0.45</v>
      </c>
      <c r="BJ26" s="138">
        <v>0.57599999999999996</v>
      </c>
      <c r="BK26" s="139">
        <v>0.54900000000000004</v>
      </c>
      <c r="BL26" s="138">
        <v>0.6</v>
      </c>
      <c r="BM26" s="139">
        <v>0.4</v>
      </c>
      <c r="BN26" s="138">
        <v>0.57599999999999996</v>
      </c>
      <c r="BO26" s="139">
        <v>0.54900000000000004</v>
      </c>
      <c r="BP26" s="138">
        <v>0.6</v>
      </c>
      <c r="BQ26" s="139">
        <v>0.4</v>
      </c>
      <c r="BR26" s="138">
        <v>0.56999999999999995</v>
      </c>
      <c r="BS26" s="139">
        <v>0.53900000000000003</v>
      </c>
      <c r="BT26" s="138">
        <v>0.59</v>
      </c>
      <c r="BU26" s="139">
        <v>0.4</v>
      </c>
      <c r="BV26" s="61"/>
    </row>
    <row r="27" spans="1:74" ht="14.25" customHeight="1" x14ac:dyDescent="0.25">
      <c r="A27" s="34">
        <v>2017</v>
      </c>
      <c r="B27" s="136">
        <v>9.5619999999999994</v>
      </c>
      <c r="C27" s="141">
        <v>12.5</v>
      </c>
      <c r="D27" s="138">
        <f t="shared" si="0"/>
        <v>1.2549675800041833</v>
      </c>
      <c r="E27" s="139">
        <f t="shared" si="1"/>
        <v>0.96</v>
      </c>
      <c r="F27" s="136">
        <v>9.5619999999999994</v>
      </c>
      <c r="G27" s="141">
        <v>12.5</v>
      </c>
      <c r="H27" s="138">
        <f t="shared" si="2"/>
        <v>1.2549675800041833</v>
      </c>
      <c r="I27" s="139">
        <f t="shared" si="3"/>
        <v>0.96</v>
      </c>
      <c r="J27" s="136">
        <v>9.5619999999999994</v>
      </c>
      <c r="K27" s="141">
        <v>12.5</v>
      </c>
      <c r="L27" s="138">
        <f t="shared" si="4"/>
        <v>1.2549675800041833</v>
      </c>
      <c r="M27" s="139">
        <f t="shared" si="5"/>
        <v>0.96</v>
      </c>
      <c r="N27" s="136">
        <v>9.5619999999999994</v>
      </c>
      <c r="O27" s="141">
        <v>12.5</v>
      </c>
      <c r="P27" s="138">
        <f t="shared" si="6"/>
        <v>1.2549675800041833</v>
      </c>
      <c r="Q27" s="139">
        <f t="shared" si="7"/>
        <v>0.96</v>
      </c>
      <c r="R27" s="136">
        <v>9.5619999999999994</v>
      </c>
      <c r="S27" s="140">
        <v>12.5</v>
      </c>
      <c r="T27" s="138">
        <f t="shared" si="8"/>
        <v>1.2549675800041833</v>
      </c>
      <c r="U27" s="139">
        <f t="shared" si="9"/>
        <v>0.96</v>
      </c>
      <c r="V27" s="136">
        <v>9.5619999999999994</v>
      </c>
      <c r="W27" s="140">
        <v>12.5</v>
      </c>
      <c r="X27" s="138">
        <f t="shared" si="10"/>
        <v>1.2549675800041833</v>
      </c>
      <c r="Y27" s="139">
        <f t="shared" si="11"/>
        <v>0.96</v>
      </c>
      <c r="Z27" s="137">
        <v>9.5619999999999994</v>
      </c>
      <c r="AA27" s="141">
        <v>12.5</v>
      </c>
      <c r="AB27" s="138">
        <f t="shared" si="12"/>
        <v>1.2549675800041833</v>
      </c>
      <c r="AC27" s="139">
        <f t="shared" si="13"/>
        <v>0.96</v>
      </c>
      <c r="AD27" s="137">
        <v>9.5619999999999994</v>
      </c>
      <c r="AE27" s="141">
        <v>12.5</v>
      </c>
      <c r="AF27" s="138">
        <f t="shared" si="14"/>
        <v>1.2549675800041833</v>
      </c>
      <c r="AG27" s="139">
        <f t="shared" si="15"/>
        <v>0.96</v>
      </c>
      <c r="AH27" s="138">
        <v>0.78</v>
      </c>
      <c r="AI27" s="139">
        <v>0.63</v>
      </c>
      <c r="AJ27" s="138">
        <v>0.8</v>
      </c>
      <c r="AK27" s="139">
        <v>0.6</v>
      </c>
      <c r="AL27" s="138">
        <v>0.77500000000000002</v>
      </c>
      <c r="AM27" s="139">
        <v>0.61499999999999999</v>
      </c>
      <c r="AN27" s="138">
        <v>0.79</v>
      </c>
      <c r="AO27" s="139">
        <v>0.58599999999999997</v>
      </c>
      <c r="AP27" s="138">
        <v>0.68</v>
      </c>
      <c r="AQ27" s="139">
        <v>0.57999999999999996</v>
      </c>
      <c r="AR27" s="138">
        <v>0.71799999999999997</v>
      </c>
      <c r="AS27" s="139">
        <v>0.54</v>
      </c>
      <c r="AT27" s="138">
        <v>0.62</v>
      </c>
      <c r="AU27" s="139">
        <v>0.54</v>
      </c>
      <c r="AV27" s="138">
        <v>0.63900000000000001</v>
      </c>
      <c r="AW27" s="139">
        <v>0.49</v>
      </c>
      <c r="AX27" s="138">
        <v>0.62</v>
      </c>
      <c r="AY27" s="139">
        <v>0.54</v>
      </c>
      <c r="AZ27" s="138">
        <v>0.63900000000000001</v>
      </c>
      <c r="BA27" s="139">
        <v>0.49</v>
      </c>
      <c r="BB27" s="138">
        <v>0.63400000000000001</v>
      </c>
      <c r="BC27" s="139">
        <v>0.59599999999999997</v>
      </c>
      <c r="BD27" s="138">
        <v>0.63900000000000001</v>
      </c>
      <c r="BE27" s="139">
        <v>0.45</v>
      </c>
      <c r="BF27" s="138">
        <v>0.63400000000000001</v>
      </c>
      <c r="BG27" s="139">
        <v>0.59599999999999997</v>
      </c>
      <c r="BH27" s="138">
        <v>0.63900000000000001</v>
      </c>
      <c r="BI27" s="139">
        <v>0.45</v>
      </c>
      <c r="BJ27" s="138">
        <v>0.57599999999999996</v>
      </c>
      <c r="BK27" s="139">
        <v>0.54900000000000004</v>
      </c>
      <c r="BL27" s="138">
        <v>0.6</v>
      </c>
      <c r="BM27" s="139">
        <v>0.4</v>
      </c>
      <c r="BN27" s="138">
        <v>0.57599999999999996</v>
      </c>
      <c r="BO27" s="139">
        <v>0.54900000000000004</v>
      </c>
      <c r="BP27" s="138">
        <v>0.6</v>
      </c>
      <c r="BQ27" s="139">
        <v>0.4</v>
      </c>
      <c r="BR27" s="138">
        <v>0.56999999999999995</v>
      </c>
      <c r="BS27" s="139">
        <v>0.53900000000000003</v>
      </c>
      <c r="BT27" s="138">
        <v>0.59</v>
      </c>
      <c r="BU27" s="139">
        <v>0.4</v>
      </c>
      <c r="BV27" s="61"/>
    </row>
    <row r="28" spans="1:74" ht="14.25" customHeight="1" x14ac:dyDescent="0.25">
      <c r="A28" s="34">
        <v>2018</v>
      </c>
      <c r="B28" s="136">
        <v>10.1</v>
      </c>
      <c r="C28" s="141">
        <v>13.7</v>
      </c>
      <c r="D28" s="138">
        <f t="shared" si="0"/>
        <v>1.1881188118811881</v>
      </c>
      <c r="E28" s="139">
        <f t="shared" si="1"/>
        <v>0.87591240875912413</v>
      </c>
      <c r="F28" s="136">
        <v>9.6999999999999993</v>
      </c>
      <c r="G28" s="141">
        <v>15.8</v>
      </c>
      <c r="H28" s="138">
        <f t="shared" si="2"/>
        <v>1.2371134020618557</v>
      </c>
      <c r="I28" s="139">
        <f t="shared" si="3"/>
        <v>0.75949367088607589</v>
      </c>
      <c r="J28" s="136">
        <v>10.1</v>
      </c>
      <c r="K28" s="141">
        <v>14</v>
      </c>
      <c r="L28" s="138">
        <f t="shared" si="4"/>
        <v>1.1881188118811881</v>
      </c>
      <c r="M28" s="139">
        <f t="shared" si="5"/>
        <v>0.8571428571428571</v>
      </c>
      <c r="N28" s="136">
        <v>9.6999999999999993</v>
      </c>
      <c r="O28" s="141">
        <v>16.100000000000001</v>
      </c>
      <c r="P28" s="138">
        <f t="shared" si="6"/>
        <v>1.2371134020618557</v>
      </c>
      <c r="Q28" s="139">
        <f t="shared" si="7"/>
        <v>0.74534161490683226</v>
      </c>
      <c r="R28" s="136">
        <v>10.1</v>
      </c>
      <c r="S28" s="140">
        <v>13.7</v>
      </c>
      <c r="T28" s="138">
        <f t="shared" si="8"/>
        <v>1.1881188118811881</v>
      </c>
      <c r="U28" s="139">
        <f t="shared" si="9"/>
        <v>0.87591240875912413</v>
      </c>
      <c r="V28" s="136">
        <v>9.6999999999999993</v>
      </c>
      <c r="W28" s="140">
        <v>15.8</v>
      </c>
      <c r="X28" s="138">
        <f t="shared" si="10"/>
        <v>1.2371134020618557</v>
      </c>
      <c r="Y28" s="139">
        <f t="shared" si="11"/>
        <v>0.75949367088607589</v>
      </c>
      <c r="Z28" s="137">
        <v>10.1</v>
      </c>
      <c r="AA28" s="141">
        <v>14</v>
      </c>
      <c r="AB28" s="138">
        <f t="shared" si="12"/>
        <v>1.1881188118811881</v>
      </c>
      <c r="AC28" s="139">
        <f t="shared" si="13"/>
        <v>0.8571428571428571</v>
      </c>
      <c r="AD28" s="137">
        <v>9.6999999999999993</v>
      </c>
      <c r="AE28" s="141">
        <v>16.100000000000001</v>
      </c>
      <c r="AF28" s="138">
        <f t="shared" si="14"/>
        <v>1.2371134020618557</v>
      </c>
      <c r="AG28" s="139">
        <f t="shared" si="15"/>
        <v>0.74534161490683226</v>
      </c>
      <c r="AH28" s="138">
        <v>0.75</v>
      </c>
      <c r="AI28" s="139">
        <v>0.6</v>
      </c>
      <c r="AJ28" s="138">
        <v>0.78</v>
      </c>
      <c r="AK28" s="139">
        <v>0.5</v>
      </c>
      <c r="AL28" s="138">
        <v>0.72</v>
      </c>
      <c r="AM28" s="139">
        <v>0.56000000000000005</v>
      </c>
      <c r="AN28" s="138">
        <v>0.75</v>
      </c>
      <c r="AO28" s="139">
        <v>0.49</v>
      </c>
      <c r="AP28" s="138">
        <v>0.66</v>
      </c>
      <c r="AQ28" s="139">
        <v>0.54</v>
      </c>
      <c r="AR28" s="138">
        <v>0.68</v>
      </c>
      <c r="AS28" s="139">
        <v>0.44</v>
      </c>
      <c r="AT28" s="138">
        <v>0.61</v>
      </c>
      <c r="AU28" s="139">
        <v>0.52</v>
      </c>
      <c r="AV28" s="138">
        <v>0.625</v>
      </c>
      <c r="AW28" s="139">
        <v>0.41</v>
      </c>
      <c r="AX28" s="138">
        <v>0.56000000000000005</v>
      </c>
      <c r="AY28" s="139">
        <v>0.5</v>
      </c>
      <c r="AZ28" s="138">
        <v>0.58499999999999996</v>
      </c>
      <c r="BA28" s="139">
        <v>0.38</v>
      </c>
      <c r="BB28" s="138">
        <v>0.61</v>
      </c>
      <c r="BC28" s="139">
        <v>0.55000000000000004</v>
      </c>
      <c r="BD28" s="138">
        <v>0.69499999999999995</v>
      </c>
      <c r="BE28" s="139">
        <v>0.44</v>
      </c>
      <c r="BF28" s="138">
        <v>0.61</v>
      </c>
      <c r="BG28" s="139">
        <v>0.55000000000000004</v>
      </c>
      <c r="BH28" s="138">
        <v>0.63500000000000001</v>
      </c>
      <c r="BI28" s="139">
        <v>0.4</v>
      </c>
      <c r="BJ28" s="138">
        <v>0.56000000000000005</v>
      </c>
      <c r="BK28" s="139">
        <v>0.52</v>
      </c>
      <c r="BL28" s="138">
        <v>0.59499999999999997</v>
      </c>
      <c r="BM28" s="139">
        <v>0.39</v>
      </c>
      <c r="BN28" s="138">
        <v>0.56000000000000005</v>
      </c>
      <c r="BO28" s="139">
        <v>0.5</v>
      </c>
      <c r="BP28" s="138">
        <v>0.58499999999999996</v>
      </c>
      <c r="BQ28" s="139">
        <v>0.38</v>
      </c>
      <c r="BR28" s="138">
        <v>0.56000000000000005</v>
      </c>
      <c r="BS28" s="139">
        <v>0.5</v>
      </c>
      <c r="BT28" s="138">
        <v>0.58499999999999996</v>
      </c>
      <c r="BU28" s="139">
        <v>0.38</v>
      </c>
      <c r="BV28" s="61"/>
    </row>
    <row r="29" spans="1:74" ht="14.25" customHeight="1" x14ac:dyDescent="0.25">
      <c r="A29" s="34">
        <v>2019</v>
      </c>
      <c r="B29" s="136">
        <v>10.1</v>
      </c>
      <c r="C29" s="141">
        <v>13.7</v>
      </c>
      <c r="D29" s="138">
        <f t="shared" si="0"/>
        <v>1.1881188118811881</v>
      </c>
      <c r="E29" s="139">
        <f t="shared" si="1"/>
        <v>0.87591240875912413</v>
      </c>
      <c r="F29" s="136">
        <v>9.6999999999999993</v>
      </c>
      <c r="G29" s="141">
        <v>15.8</v>
      </c>
      <c r="H29" s="138">
        <f t="shared" si="2"/>
        <v>1.2371134020618557</v>
      </c>
      <c r="I29" s="139">
        <f t="shared" si="3"/>
        <v>0.75949367088607589</v>
      </c>
      <c r="J29" s="136">
        <v>10.1</v>
      </c>
      <c r="K29" s="141">
        <v>14</v>
      </c>
      <c r="L29" s="138">
        <f t="shared" si="4"/>
        <v>1.1881188118811881</v>
      </c>
      <c r="M29" s="139">
        <f t="shared" si="5"/>
        <v>0.8571428571428571</v>
      </c>
      <c r="N29" s="425">
        <v>9.6999999999999993</v>
      </c>
      <c r="O29" s="141">
        <v>16.100000000000001</v>
      </c>
      <c r="P29" s="138">
        <f t="shared" si="6"/>
        <v>1.2371134020618557</v>
      </c>
      <c r="Q29" s="139">
        <f t="shared" si="7"/>
        <v>0.74534161490683226</v>
      </c>
      <c r="R29" s="136">
        <v>10.1</v>
      </c>
      <c r="S29" s="140">
        <v>13.7</v>
      </c>
      <c r="T29" s="138">
        <f t="shared" si="8"/>
        <v>1.1881188118811881</v>
      </c>
      <c r="U29" s="139">
        <f t="shared" si="9"/>
        <v>0.87591240875912413</v>
      </c>
      <c r="V29" s="136">
        <v>9.6999999999999993</v>
      </c>
      <c r="W29" s="140">
        <v>15.8</v>
      </c>
      <c r="X29" s="138">
        <f t="shared" si="10"/>
        <v>1.2371134020618557</v>
      </c>
      <c r="Y29" s="139">
        <f t="shared" si="11"/>
        <v>0.75949367088607589</v>
      </c>
      <c r="Z29" s="137">
        <v>10.1</v>
      </c>
      <c r="AA29" s="141">
        <v>14</v>
      </c>
      <c r="AB29" s="138">
        <f t="shared" si="12"/>
        <v>1.1881188118811881</v>
      </c>
      <c r="AC29" s="139">
        <f t="shared" si="13"/>
        <v>0.8571428571428571</v>
      </c>
      <c r="AD29" s="137">
        <v>9.6999999999999993</v>
      </c>
      <c r="AE29" s="141">
        <v>16.100000000000001</v>
      </c>
      <c r="AF29" s="138">
        <f t="shared" si="14"/>
        <v>1.2371134020618557</v>
      </c>
      <c r="AG29" s="139">
        <f t="shared" si="15"/>
        <v>0.74534161490683226</v>
      </c>
      <c r="AH29" s="138">
        <v>0.75</v>
      </c>
      <c r="AI29" s="139">
        <v>0.6</v>
      </c>
      <c r="AJ29" s="138">
        <v>0.78</v>
      </c>
      <c r="AK29" s="139">
        <v>0.5</v>
      </c>
      <c r="AL29" s="138">
        <v>0.72</v>
      </c>
      <c r="AM29" s="139">
        <v>0.56000000000000005</v>
      </c>
      <c r="AN29" s="138">
        <v>0.75</v>
      </c>
      <c r="AO29" s="139">
        <v>0.49</v>
      </c>
      <c r="AP29" s="138">
        <v>0.66</v>
      </c>
      <c r="AQ29" s="139">
        <v>0.54</v>
      </c>
      <c r="AR29" s="138">
        <v>0.68</v>
      </c>
      <c r="AS29" s="139">
        <v>0.44</v>
      </c>
      <c r="AT29" s="138">
        <v>0.61</v>
      </c>
      <c r="AU29" s="139">
        <v>0.52</v>
      </c>
      <c r="AV29" s="138">
        <v>0.625</v>
      </c>
      <c r="AW29" s="139">
        <v>0.41</v>
      </c>
      <c r="AX29" s="138">
        <v>0.56000000000000005</v>
      </c>
      <c r="AY29" s="139">
        <v>0.5</v>
      </c>
      <c r="AZ29" s="138">
        <v>0.58499999999999996</v>
      </c>
      <c r="BA29" s="139">
        <v>0.38</v>
      </c>
      <c r="BB29" s="138">
        <v>0.61</v>
      </c>
      <c r="BC29" s="139">
        <v>0.55000000000000004</v>
      </c>
      <c r="BD29" s="138">
        <v>0.69499999999999995</v>
      </c>
      <c r="BE29" s="139">
        <v>0.44</v>
      </c>
      <c r="BF29" s="138">
        <v>0.61</v>
      </c>
      <c r="BG29" s="139">
        <v>0.55000000000000004</v>
      </c>
      <c r="BH29" s="138">
        <v>0.63500000000000001</v>
      </c>
      <c r="BI29" s="139">
        <v>0.4</v>
      </c>
      <c r="BJ29" s="138">
        <v>0.56000000000000005</v>
      </c>
      <c r="BK29" s="139">
        <v>0.52</v>
      </c>
      <c r="BL29" s="138">
        <v>0.59499999999999997</v>
      </c>
      <c r="BM29" s="139">
        <v>0.39</v>
      </c>
      <c r="BN29" s="138">
        <v>0.56000000000000005</v>
      </c>
      <c r="BO29" s="139">
        <v>0.5</v>
      </c>
      <c r="BP29" s="138">
        <v>0.58499999999999996</v>
      </c>
      <c r="BQ29" s="139">
        <v>0.38</v>
      </c>
      <c r="BR29" s="138">
        <v>0.56000000000000005</v>
      </c>
      <c r="BS29" s="139">
        <v>0.5</v>
      </c>
      <c r="BT29" s="138">
        <v>0.58499999999999996</v>
      </c>
      <c r="BU29" s="139">
        <v>0.38</v>
      </c>
      <c r="BV29" s="61"/>
    </row>
    <row r="30" spans="1:74" ht="14.25" customHeight="1" x14ac:dyDescent="0.25">
      <c r="A30" s="34">
        <v>2020</v>
      </c>
      <c r="B30" s="136">
        <v>10.1</v>
      </c>
      <c r="C30" s="141">
        <v>13.7</v>
      </c>
      <c r="D30" s="138">
        <f t="shared" si="0"/>
        <v>1.1881188118811881</v>
      </c>
      <c r="E30" s="139">
        <f t="shared" si="1"/>
        <v>0.87591240875912413</v>
      </c>
      <c r="F30" s="136">
        <v>9.6999999999999993</v>
      </c>
      <c r="G30" s="141">
        <v>15.8</v>
      </c>
      <c r="H30" s="138">
        <f t="shared" si="2"/>
        <v>1.2371134020618557</v>
      </c>
      <c r="I30" s="139">
        <f t="shared" si="3"/>
        <v>0.75949367088607589</v>
      </c>
      <c r="J30" s="136">
        <v>10.1</v>
      </c>
      <c r="K30" s="141">
        <v>14</v>
      </c>
      <c r="L30" s="138">
        <f t="shared" si="4"/>
        <v>1.1881188118811881</v>
      </c>
      <c r="M30" s="139">
        <f t="shared" si="5"/>
        <v>0.8571428571428571</v>
      </c>
      <c r="N30" s="136">
        <v>9.6999999999999993</v>
      </c>
      <c r="O30" s="141">
        <v>16.100000000000001</v>
      </c>
      <c r="P30" s="138">
        <f t="shared" si="6"/>
        <v>1.2371134020618557</v>
      </c>
      <c r="Q30" s="139">
        <f t="shared" si="7"/>
        <v>0.74534161490683226</v>
      </c>
      <c r="R30" s="136">
        <v>10.1</v>
      </c>
      <c r="S30" s="140">
        <v>13.7</v>
      </c>
      <c r="T30" s="138">
        <f t="shared" si="8"/>
        <v>1.1881188118811881</v>
      </c>
      <c r="U30" s="139">
        <f t="shared" si="9"/>
        <v>0.87591240875912413</v>
      </c>
      <c r="V30" s="136">
        <v>9.6999999999999993</v>
      </c>
      <c r="W30" s="140">
        <v>15.8</v>
      </c>
      <c r="X30" s="138">
        <f t="shared" si="10"/>
        <v>1.2371134020618557</v>
      </c>
      <c r="Y30" s="139">
        <f t="shared" si="11"/>
        <v>0.75949367088607589</v>
      </c>
      <c r="Z30" s="137">
        <v>10.1</v>
      </c>
      <c r="AA30" s="141">
        <v>14</v>
      </c>
      <c r="AB30" s="138">
        <f t="shared" si="12"/>
        <v>1.1881188118811881</v>
      </c>
      <c r="AC30" s="139">
        <f t="shared" si="13"/>
        <v>0.8571428571428571</v>
      </c>
      <c r="AD30" s="137">
        <v>9.6999999999999993</v>
      </c>
      <c r="AE30" s="141">
        <v>16.100000000000001</v>
      </c>
      <c r="AF30" s="138">
        <f t="shared" si="14"/>
        <v>1.2371134020618557</v>
      </c>
      <c r="AG30" s="139">
        <f t="shared" si="15"/>
        <v>0.74534161490683226</v>
      </c>
      <c r="AH30" s="138">
        <v>0.75</v>
      </c>
      <c r="AI30" s="139">
        <v>0.6</v>
      </c>
      <c r="AJ30" s="138">
        <v>0.78</v>
      </c>
      <c r="AK30" s="139">
        <v>0.5</v>
      </c>
      <c r="AL30" s="138">
        <v>0.72</v>
      </c>
      <c r="AM30" s="139">
        <v>0.56000000000000005</v>
      </c>
      <c r="AN30" s="138">
        <v>0.75</v>
      </c>
      <c r="AO30" s="139">
        <v>0.49</v>
      </c>
      <c r="AP30" s="138">
        <v>0.66</v>
      </c>
      <c r="AQ30" s="139">
        <v>0.54</v>
      </c>
      <c r="AR30" s="138">
        <v>0.68</v>
      </c>
      <c r="AS30" s="139">
        <v>0.44</v>
      </c>
      <c r="AT30" s="138">
        <v>0.61</v>
      </c>
      <c r="AU30" s="139">
        <v>0.52</v>
      </c>
      <c r="AV30" s="138">
        <v>0.625</v>
      </c>
      <c r="AW30" s="139">
        <v>0.41</v>
      </c>
      <c r="AX30" s="138">
        <v>0.56000000000000005</v>
      </c>
      <c r="AY30" s="139">
        <v>0.5</v>
      </c>
      <c r="AZ30" s="138">
        <v>0.58499999999999996</v>
      </c>
      <c r="BA30" s="139">
        <v>0.38</v>
      </c>
      <c r="BB30" s="138">
        <v>0.61</v>
      </c>
      <c r="BC30" s="139">
        <v>0.55000000000000004</v>
      </c>
      <c r="BD30" s="138">
        <v>0.69499999999999995</v>
      </c>
      <c r="BE30" s="139">
        <v>0.44</v>
      </c>
      <c r="BF30" s="138">
        <v>0.61</v>
      </c>
      <c r="BG30" s="139">
        <v>0.55000000000000004</v>
      </c>
      <c r="BH30" s="138">
        <v>0.63500000000000001</v>
      </c>
      <c r="BI30" s="139">
        <v>0.4</v>
      </c>
      <c r="BJ30" s="138">
        <v>0.56000000000000005</v>
      </c>
      <c r="BK30" s="139">
        <v>0.52</v>
      </c>
      <c r="BL30" s="138">
        <v>0.59499999999999997</v>
      </c>
      <c r="BM30" s="139">
        <v>0.39</v>
      </c>
      <c r="BN30" s="138">
        <v>0.56000000000000005</v>
      </c>
      <c r="BO30" s="139">
        <v>0.5</v>
      </c>
      <c r="BP30" s="138">
        <v>0.58499999999999996</v>
      </c>
      <c r="BQ30" s="139">
        <v>0.38</v>
      </c>
      <c r="BR30" s="138">
        <v>0.56000000000000005</v>
      </c>
      <c r="BS30" s="139">
        <v>0.5</v>
      </c>
      <c r="BT30" s="138">
        <v>0.58499999999999996</v>
      </c>
      <c r="BU30" s="139">
        <v>0.38</v>
      </c>
      <c r="BV30" s="61"/>
    </row>
    <row r="31" spans="1:74" ht="14.25" customHeight="1" x14ac:dyDescent="0.25">
      <c r="A31" s="34">
        <v>2021</v>
      </c>
      <c r="B31" s="136">
        <v>10.1</v>
      </c>
      <c r="C31" s="141">
        <v>13.7</v>
      </c>
      <c r="D31" s="138">
        <f t="shared" si="0"/>
        <v>1.1881188118811881</v>
      </c>
      <c r="E31" s="139">
        <f t="shared" si="1"/>
        <v>0.87591240875912413</v>
      </c>
      <c r="F31" s="136">
        <v>9.6999999999999993</v>
      </c>
      <c r="G31" s="141">
        <v>15.8</v>
      </c>
      <c r="H31" s="138">
        <f t="shared" si="2"/>
        <v>1.2371134020618557</v>
      </c>
      <c r="I31" s="139">
        <f t="shared" si="3"/>
        <v>0.75949367088607589</v>
      </c>
      <c r="J31" s="136">
        <v>10.1</v>
      </c>
      <c r="K31" s="141">
        <v>14</v>
      </c>
      <c r="L31" s="138">
        <f t="shared" si="4"/>
        <v>1.1881188118811881</v>
      </c>
      <c r="M31" s="139">
        <f t="shared" si="5"/>
        <v>0.8571428571428571</v>
      </c>
      <c r="N31" s="136">
        <v>9.6999999999999993</v>
      </c>
      <c r="O31" s="141">
        <v>16.100000000000001</v>
      </c>
      <c r="P31" s="138">
        <f t="shared" si="6"/>
        <v>1.2371134020618557</v>
      </c>
      <c r="Q31" s="139">
        <f t="shared" si="7"/>
        <v>0.74534161490683226</v>
      </c>
      <c r="R31" s="136">
        <v>10.1</v>
      </c>
      <c r="S31" s="140">
        <v>13.7</v>
      </c>
      <c r="T31" s="138">
        <f t="shared" si="8"/>
        <v>1.1881188118811881</v>
      </c>
      <c r="U31" s="139">
        <f t="shared" si="9"/>
        <v>0.87591240875912413</v>
      </c>
      <c r="V31" s="136">
        <v>9.6999999999999993</v>
      </c>
      <c r="W31" s="140">
        <v>15.8</v>
      </c>
      <c r="X31" s="138">
        <f t="shared" si="10"/>
        <v>1.2371134020618557</v>
      </c>
      <c r="Y31" s="139">
        <f t="shared" si="11"/>
        <v>0.75949367088607589</v>
      </c>
      <c r="Z31" s="137">
        <v>10.1</v>
      </c>
      <c r="AA31" s="141">
        <v>14</v>
      </c>
      <c r="AB31" s="138">
        <f t="shared" si="12"/>
        <v>1.1881188118811881</v>
      </c>
      <c r="AC31" s="139">
        <f t="shared" si="13"/>
        <v>0.8571428571428571</v>
      </c>
      <c r="AD31" s="137">
        <v>9.6999999999999993</v>
      </c>
      <c r="AE31" s="141">
        <v>16.100000000000001</v>
      </c>
      <c r="AF31" s="138">
        <f t="shared" si="14"/>
        <v>1.2371134020618557</v>
      </c>
      <c r="AG31" s="139">
        <f t="shared" si="15"/>
        <v>0.74534161490683226</v>
      </c>
      <c r="AH31" s="138">
        <v>0.75</v>
      </c>
      <c r="AI31" s="139">
        <v>0.6</v>
      </c>
      <c r="AJ31" s="138">
        <v>0.78</v>
      </c>
      <c r="AK31" s="139">
        <v>0.5</v>
      </c>
      <c r="AL31" s="138">
        <v>0.72</v>
      </c>
      <c r="AM31" s="139">
        <v>0.56000000000000005</v>
      </c>
      <c r="AN31" s="138">
        <v>0.75</v>
      </c>
      <c r="AO31" s="139">
        <v>0.49</v>
      </c>
      <c r="AP31" s="138">
        <v>0.66</v>
      </c>
      <c r="AQ31" s="139">
        <v>0.54</v>
      </c>
      <c r="AR31" s="138">
        <v>0.68</v>
      </c>
      <c r="AS31" s="139">
        <v>0.44</v>
      </c>
      <c r="AT31" s="138">
        <v>0.61</v>
      </c>
      <c r="AU31" s="139">
        <v>0.52</v>
      </c>
      <c r="AV31" s="138">
        <v>0.625</v>
      </c>
      <c r="AW31" s="139">
        <v>0.41</v>
      </c>
      <c r="AX31" s="138">
        <v>0.56000000000000005</v>
      </c>
      <c r="AY31" s="139">
        <v>0.5</v>
      </c>
      <c r="AZ31" s="138">
        <v>0.58499999999999996</v>
      </c>
      <c r="BA31" s="139">
        <v>0.38</v>
      </c>
      <c r="BB31" s="138">
        <v>0.61</v>
      </c>
      <c r="BC31" s="139">
        <v>0.55000000000000004</v>
      </c>
      <c r="BD31" s="138">
        <v>0.69499999999999995</v>
      </c>
      <c r="BE31" s="139">
        <v>0.44</v>
      </c>
      <c r="BF31" s="138">
        <v>0.61</v>
      </c>
      <c r="BG31" s="139">
        <v>0.55000000000000004</v>
      </c>
      <c r="BH31" s="138">
        <v>0.63500000000000001</v>
      </c>
      <c r="BI31" s="139">
        <v>0.4</v>
      </c>
      <c r="BJ31" s="138">
        <v>0.56000000000000005</v>
      </c>
      <c r="BK31" s="139">
        <v>0.52</v>
      </c>
      <c r="BL31" s="138">
        <v>0.59499999999999997</v>
      </c>
      <c r="BM31" s="139">
        <v>0.39</v>
      </c>
      <c r="BN31" s="138">
        <v>0.56000000000000005</v>
      </c>
      <c r="BO31" s="139">
        <v>0.5</v>
      </c>
      <c r="BP31" s="138">
        <v>0.58499999999999996</v>
      </c>
      <c r="BQ31" s="139">
        <v>0.38</v>
      </c>
      <c r="BR31" s="138">
        <v>0.56000000000000005</v>
      </c>
      <c r="BS31" s="139">
        <v>0.5</v>
      </c>
      <c r="BT31" s="138">
        <v>0.58499999999999996</v>
      </c>
      <c r="BU31" s="139">
        <v>0.38</v>
      </c>
      <c r="BV31" s="61"/>
    </row>
    <row r="32" spans="1:74" ht="14.25" customHeight="1" x14ac:dyDescent="0.25">
      <c r="A32" s="34">
        <v>2022</v>
      </c>
      <c r="B32" s="136">
        <v>10.1</v>
      </c>
      <c r="C32" s="141">
        <v>13.7</v>
      </c>
      <c r="D32" s="138">
        <f t="shared" si="0"/>
        <v>1.1881188118811881</v>
      </c>
      <c r="E32" s="139">
        <f t="shared" si="1"/>
        <v>0.87591240875912413</v>
      </c>
      <c r="F32" s="136">
        <v>9.6999999999999993</v>
      </c>
      <c r="G32" s="141">
        <v>15.8</v>
      </c>
      <c r="H32" s="138">
        <f t="shared" si="2"/>
        <v>1.2371134020618557</v>
      </c>
      <c r="I32" s="139">
        <f t="shared" si="3"/>
        <v>0.75949367088607589</v>
      </c>
      <c r="J32" s="136">
        <v>10.1</v>
      </c>
      <c r="K32" s="141">
        <v>14</v>
      </c>
      <c r="L32" s="138">
        <f t="shared" si="4"/>
        <v>1.1881188118811881</v>
      </c>
      <c r="M32" s="139">
        <f t="shared" si="5"/>
        <v>0.8571428571428571</v>
      </c>
      <c r="N32" s="136">
        <v>9.6999999999999993</v>
      </c>
      <c r="O32" s="141">
        <v>16.100000000000001</v>
      </c>
      <c r="P32" s="138">
        <f t="shared" si="6"/>
        <v>1.2371134020618557</v>
      </c>
      <c r="Q32" s="139">
        <f t="shared" si="7"/>
        <v>0.74534161490683226</v>
      </c>
      <c r="R32" s="136">
        <v>10.1</v>
      </c>
      <c r="S32" s="140">
        <v>13.7</v>
      </c>
      <c r="T32" s="138">
        <f t="shared" si="8"/>
        <v>1.1881188118811881</v>
      </c>
      <c r="U32" s="139">
        <f t="shared" si="9"/>
        <v>0.87591240875912413</v>
      </c>
      <c r="V32" s="136">
        <v>9.6999999999999993</v>
      </c>
      <c r="W32" s="140">
        <v>15.8</v>
      </c>
      <c r="X32" s="138">
        <f t="shared" si="10"/>
        <v>1.2371134020618557</v>
      </c>
      <c r="Y32" s="139">
        <f t="shared" si="11"/>
        <v>0.75949367088607589</v>
      </c>
      <c r="Z32" s="137">
        <v>10.1</v>
      </c>
      <c r="AA32" s="141">
        <v>14</v>
      </c>
      <c r="AB32" s="138">
        <f t="shared" si="12"/>
        <v>1.1881188118811881</v>
      </c>
      <c r="AC32" s="139">
        <f t="shared" si="13"/>
        <v>0.8571428571428571</v>
      </c>
      <c r="AD32" s="137">
        <v>9.6999999999999993</v>
      </c>
      <c r="AE32" s="141">
        <v>16.100000000000001</v>
      </c>
      <c r="AF32" s="138">
        <f t="shared" si="14"/>
        <v>1.2371134020618557</v>
      </c>
      <c r="AG32" s="139">
        <f t="shared" si="15"/>
        <v>0.74534161490683226</v>
      </c>
      <c r="AH32" s="138">
        <v>0.75</v>
      </c>
      <c r="AI32" s="139">
        <v>0.6</v>
      </c>
      <c r="AJ32" s="138">
        <v>0.78</v>
      </c>
      <c r="AK32" s="139">
        <v>0.5</v>
      </c>
      <c r="AL32" s="138">
        <v>0.72</v>
      </c>
      <c r="AM32" s="139">
        <v>0.56000000000000005</v>
      </c>
      <c r="AN32" s="138">
        <v>0.75</v>
      </c>
      <c r="AO32" s="139">
        <v>0.49</v>
      </c>
      <c r="AP32" s="138">
        <v>0.66</v>
      </c>
      <c r="AQ32" s="139">
        <v>0.54</v>
      </c>
      <c r="AR32" s="138">
        <v>0.68</v>
      </c>
      <c r="AS32" s="139">
        <v>0.44</v>
      </c>
      <c r="AT32" s="138">
        <v>0.61</v>
      </c>
      <c r="AU32" s="139">
        <v>0.52</v>
      </c>
      <c r="AV32" s="138">
        <v>0.625</v>
      </c>
      <c r="AW32" s="139">
        <v>0.41</v>
      </c>
      <c r="AX32" s="138">
        <v>0.56000000000000005</v>
      </c>
      <c r="AY32" s="139">
        <v>0.5</v>
      </c>
      <c r="AZ32" s="138">
        <v>0.58499999999999996</v>
      </c>
      <c r="BA32" s="139">
        <v>0.38</v>
      </c>
      <c r="BB32" s="138">
        <v>0.61</v>
      </c>
      <c r="BC32" s="139">
        <v>0.55000000000000004</v>
      </c>
      <c r="BD32" s="138">
        <v>0.69499999999999995</v>
      </c>
      <c r="BE32" s="139">
        <v>0.44</v>
      </c>
      <c r="BF32" s="138">
        <v>0.61</v>
      </c>
      <c r="BG32" s="139">
        <v>0.55000000000000004</v>
      </c>
      <c r="BH32" s="138">
        <v>0.63500000000000001</v>
      </c>
      <c r="BI32" s="139">
        <v>0.4</v>
      </c>
      <c r="BJ32" s="138">
        <v>0.56000000000000005</v>
      </c>
      <c r="BK32" s="139">
        <v>0.52</v>
      </c>
      <c r="BL32" s="138">
        <v>0.59499999999999997</v>
      </c>
      <c r="BM32" s="139">
        <v>0.39</v>
      </c>
      <c r="BN32" s="138">
        <v>0.56000000000000005</v>
      </c>
      <c r="BO32" s="139">
        <v>0.5</v>
      </c>
      <c r="BP32" s="138">
        <v>0.58499999999999996</v>
      </c>
      <c r="BQ32" s="139">
        <v>0.38</v>
      </c>
      <c r="BR32" s="138">
        <v>0.56000000000000005</v>
      </c>
      <c r="BS32" s="139">
        <v>0.5</v>
      </c>
      <c r="BT32" s="138">
        <v>0.58499999999999996</v>
      </c>
      <c r="BU32" s="139">
        <v>0.38</v>
      </c>
      <c r="BV32" s="61"/>
    </row>
    <row r="33" spans="1:74" ht="14.25" customHeight="1" x14ac:dyDescent="0.25">
      <c r="A33" s="34">
        <v>2023</v>
      </c>
      <c r="B33" s="136">
        <v>10.1</v>
      </c>
      <c r="C33" s="141">
        <v>13.7</v>
      </c>
      <c r="D33" s="138">
        <f t="shared" si="0"/>
        <v>1.1881188118811881</v>
      </c>
      <c r="E33" s="139">
        <f t="shared" si="1"/>
        <v>0.87591240875912413</v>
      </c>
      <c r="F33" s="136">
        <v>9.6999999999999993</v>
      </c>
      <c r="G33" s="141">
        <v>15.8</v>
      </c>
      <c r="H33" s="138">
        <f t="shared" si="2"/>
        <v>1.2371134020618557</v>
      </c>
      <c r="I33" s="139">
        <f t="shared" si="3"/>
        <v>0.75949367088607589</v>
      </c>
      <c r="J33" s="136">
        <v>10.1</v>
      </c>
      <c r="K33" s="141">
        <v>14</v>
      </c>
      <c r="L33" s="138">
        <f t="shared" si="4"/>
        <v>1.1881188118811881</v>
      </c>
      <c r="M33" s="139">
        <f t="shared" si="5"/>
        <v>0.8571428571428571</v>
      </c>
      <c r="N33" s="136">
        <v>9.6999999999999993</v>
      </c>
      <c r="O33" s="141">
        <v>16.100000000000001</v>
      </c>
      <c r="P33" s="138">
        <f t="shared" si="6"/>
        <v>1.2371134020618557</v>
      </c>
      <c r="Q33" s="139">
        <f t="shared" si="7"/>
        <v>0.74534161490683226</v>
      </c>
      <c r="R33" s="136">
        <v>10.1</v>
      </c>
      <c r="S33" s="140">
        <v>13.7</v>
      </c>
      <c r="T33" s="138">
        <f t="shared" si="8"/>
        <v>1.1881188118811881</v>
      </c>
      <c r="U33" s="139">
        <f t="shared" si="9"/>
        <v>0.87591240875912413</v>
      </c>
      <c r="V33" s="136">
        <v>9.6999999999999993</v>
      </c>
      <c r="W33" s="140">
        <v>15.8</v>
      </c>
      <c r="X33" s="138">
        <f t="shared" si="10"/>
        <v>1.2371134020618557</v>
      </c>
      <c r="Y33" s="139">
        <f t="shared" si="11"/>
        <v>0.75949367088607589</v>
      </c>
      <c r="Z33" s="137">
        <v>10.1</v>
      </c>
      <c r="AA33" s="141">
        <v>14</v>
      </c>
      <c r="AB33" s="138">
        <f t="shared" si="12"/>
        <v>1.1881188118811881</v>
      </c>
      <c r="AC33" s="139">
        <f t="shared" si="13"/>
        <v>0.8571428571428571</v>
      </c>
      <c r="AD33" s="137">
        <v>9.6999999999999993</v>
      </c>
      <c r="AE33" s="141">
        <v>16.100000000000001</v>
      </c>
      <c r="AF33" s="138">
        <f t="shared" si="14"/>
        <v>1.2371134020618557</v>
      </c>
      <c r="AG33" s="139">
        <f t="shared" si="15"/>
        <v>0.74534161490683226</v>
      </c>
      <c r="AH33" s="138">
        <v>0.75</v>
      </c>
      <c r="AI33" s="139">
        <v>0.6</v>
      </c>
      <c r="AJ33" s="138">
        <v>0.78</v>
      </c>
      <c r="AK33" s="139">
        <v>0.5</v>
      </c>
      <c r="AL33" s="138">
        <v>0.72</v>
      </c>
      <c r="AM33" s="139">
        <v>0.56000000000000005</v>
      </c>
      <c r="AN33" s="138">
        <v>0.75</v>
      </c>
      <c r="AO33" s="139">
        <v>0.49</v>
      </c>
      <c r="AP33" s="138">
        <v>0.66</v>
      </c>
      <c r="AQ33" s="139">
        <v>0.54</v>
      </c>
      <c r="AR33" s="138">
        <v>0.68</v>
      </c>
      <c r="AS33" s="139">
        <v>0.44</v>
      </c>
      <c r="AT33" s="138">
        <v>0.61</v>
      </c>
      <c r="AU33" s="139">
        <v>0.52</v>
      </c>
      <c r="AV33" s="138">
        <v>0.625</v>
      </c>
      <c r="AW33" s="139">
        <v>0.41</v>
      </c>
      <c r="AX33" s="138">
        <v>0.56000000000000005</v>
      </c>
      <c r="AY33" s="139">
        <v>0.5</v>
      </c>
      <c r="AZ33" s="138">
        <v>0.58499999999999996</v>
      </c>
      <c r="BA33" s="139">
        <v>0.38</v>
      </c>
      <c r="BB33" s="138">
        <v>0.61</v>
      </c>
      <c r="BC33" s="139">
        <v>0.55000000000000004</v>
      </c>
      <c r="BD33" s="138">
        <v>0.69499999999999995</v>
      </c>
      <c r="BE33" s="139">
        <v>0.44</v>
      </c>
      <c r="BF33" s="138">
        <v>0.61</v>
      </c>
      <c r="BG33" s="139">
        <v>0.55000000000000004</v>
      </c>
      <c r="BH33" s="138">
        <v>0.63500000000000001</v>
      </c>
      <c r="BI33" s="139">
        <v>0.4</v>
      </c>
      <c r="BJ33" s="138">
        <v>0.56000000000000005</v>
      </c>
      <c r="BK33" s="139">
        <v>0.52</v>
      </c>
      <c r="BL33" s="138">
        <v>0.59499999999999997</v>
      </c>
      <c r="BM33" s="139">
        <v>0.39</v>
      </c>
      <c r="BN33" s="138">
        <v>0.56000000000000005</v>
      </c>
      <c r="BO33" s="139">
        <v>0.5</v>
      </c>
      <c r="BP33" s="138">
        <v>0.58499999999999996</v>
      </c>
      <c r="BQ33" s="139">
        <v>0.38</v>
      </c>
      <c r="BR33" s="138">
        <v>0.56000000000000005</v>
      </c>
      <c r="BS33" s="139">
        <v>0.5</v>
      </c>
      <c r="BT33" s="138">
        <v>0.58499999999999996</v>
      </c>
      <c r="BU33" s="139">
        <v>0.38</v>
      </c>
      <c r="BV33" s="61"/>
    </row>
    <row r="34" spans="1:74" ht="14.25" customHeight="1" x14ac:dyDescent="0.25">
      <c r="A34" s="34">
        <v>2024</v>
      </c>
      <c r="B34" s="136">
        <v>10.1</v>
      </c>
      <c r="C34" s="141">
        <v>13.7</v>
      </c>
      <c r="D34" s="138">
        <f t="shared" ref="D34" si="16">12/B34</f>
        <v>1.1881188118811881</v>
      </c>
      <c r="E34" s="139">
        <f t="shared" ref="E34" si="17">12/C34</f>
        <v>0.87591240875912413</v>
      </c>
      <c r="F34" s="136">
        <v>9.6999999999999993</v>
      </c>
      <c r="G34" s="141">
        <v>15.8</v>
      </c>
      <c r="H34" s="138">
        <f t="shared" ref="H34" si="18">12/F34</f>
        <v>1.2371134020618557</v>
      </c>
      <c r="I34" s="139">
        <f t="shared" ref="I34" si="19">12/G34</f>
        <v>0.75949367088607589</v>
      </c>
      <c r="J34" s="136">
        <v>10.1</v>
      </c>
      <c r="K34" s="141">
        <v>14</v>
      </c>
      <c r="L34" s="138">
        <f t="shared" ref="L34" si="20">12/J34</f>
        <v>1.1881188118811881</v>
      </c>
      <c r="M34" s="139">
        <f t="shared" ref="M34" si="21">12/K34</f>
        <v>0.8571428571428571</v>
      </c>
      <c r="N34" s="136">
        <v>9.6999999999999993</v>
      </c>
      <c r="O34" s="141">
        <v>16.100000000000001</v>
      </c>
      <c r="P34" s="138">
        <f t="shared" ref="P34" si="22">12/N34</f>
        <v>1.2371134020618557</v>
      </c>
      <c r="Q34" s="139">
        <f t="shared" ref="Q34" si="23">12/O34</f>
        <v>0.74534161490683226</v>
      </c>
      <c r="R34" s="136">
        <v>10.1</v>
      </c>
      <c r="S34" s="140">
        <v>13.7</v>
      </c>
      <c r="T34" s="138">
        <f t="shared" ref="T34" si="24">12/R34</f>
        <v>1.1881188118811881</v>
      </c>
      <c r="U34" s="139">
        <f t="shared" ref="U34" si="25">12/S34</f>
        <v>0.87591240875912413</v>
      </c>
      <c r="V34" s="136">
        <v>9.6999999999999993</v>
      </c>
      <c r="W34" s="140">
        <v>15.8</v>
      </c>
      <c r="X34" s="138">
        <f t="shared" si="10"/>
        <v>1.2371134020618557</v>
      </c>
      <c r="Y34" s="139">
        <f t="shared" si="11"/>
        <v>0.75949367088607589</v>
      </c>
      <c r="Z34" s="137">
        <v>10.1</v>
      </c>
      <c r="AA34" s="141">
        <v>14</v>
      </c>
      <c r="AB34" s="138">
        <f t="shared" ref="AB34" si="26">12/Z34</f>
        <v>1.1881188118811881</v>
      </c>
      <c r="AC34" s="139">
        <f t="shared" ref="AC34" si="27">12/AA34</f>
        <v>0.8571428571428571</v>
      </c>
      <c r="AD34" s="137">
        <v>9.6999999999999993</v>
      </c>
      <c r="AE34" s="141">
        <v>16.100000000000001</v>
      </c>
      <c r="AF34" s="138">
        <f t="shared" ref="AF34" si="28">12/AD34</f>
        <v>1.2371134020618557</v>
      </c>
      <c r="AG34" s="139">
        <f t="shared" ref="AG34" si="29">12/AE34</f>
        <v>0.74534161490683226</v>
      </c>
      <c r="AH34" s="138">
        <v>0.75</v>
      </c>
      <c r="AI34" s="139">
        <v>0.6</v>
      </c>
      <c r="AJ34" s="138">
        <v>0.78</v>
      </c>
      <c r="AK34" s="139">
        <v>0.5</v>
      </c>
      <c r="AL34" s="138">
        <v>0.72</v>
      </c>
      <c r="AM34" s="139">
        <v>0.56000000000000005</v>
      </c>
      <c r="AN34" s="138">
        <v>0.75</v>
      </c>
      <c r="AO34" s="139">
        <v>0.49</v>
      </c>
      <c r="AP34" s="138">
        <v>0.66</v>
      </c>
      <c r="AQ34" s="139">
        <v>0.54</v>
      </c>
      <c r="AR34" s="138">
        <v>0.68</v>
      </c>
      <c r="AS34" s="139">
        <v>0.44</v>
      </c>
      <c r="AT34" s="138">
        <v>0.61</v>
      </c>
      <c r="AU34" s="139">
        <v>0.52</v>
      </c>
      <c r="AV34" s="138">
        <v>0.625</v>
      </c>
      <c r="AW34" s="139">
        <v>0.41</v>
      </c>
      <c r="AX34" s="138">
        <v>0.56000000000000005</v>
      </c>
      <c r="AY34" s="139">
        <v>0.5</v>
      </c>
      <c r="AZ34" s="138">
        <v>0.58499999999999996</v>
      </c>
      <c r="BA34" s="139">
        <v>0.38</v>
      </c>
      <c r="BB34" s="138">
        <v>0.61</v>
      </c>
      <c r="BC34" s="139">
        <v>0.55000000000000004</v>
      </c>
      <c r="BD34" s="138">
        <v>0.69499999999999995</v>
      </c>
      <c r="BE34" s="139">
        <v>0.44</v>
      </c>
      <c r="BF34" s="138">
        <v>0.61</v>
      </c>
      <c r="BG34" s="139">
        <v>0.55000000000000004</v>
      </c>
      <c r="BH34" s="138">
        <v>0.63500000000000001</v>
      </c>
      <c r="BI34" s="139">
        <v>0.4</v>
      </c>
      <c r="BJ34" s="138">
        <v>0.56000000000000005</v>
      </c>
      <c r="BK34" s="139">
        <v>0.52</v>
      </c>
      <c r="BL34" s="138">
        <v>0.59499999999999997</v>
      </c>
      <c r="BM34" s="139">
        <v>0.39</v>
      </c>
      <c r="BN34" s="138">
        <v>0.56000000000000005</v>
      </c>
      <c r="BO34" s="139">
        <v>0.5</v>
      </c>
      <c r="BP34" s="138">
        <v>0.58499999999999996</v>
      </c>
      <c r="BQ34" s="139">
        <v>0.38</v>
      </c>
      <c r="BR34" s="138">
        <v>0.56000000000000005</v>
      </c>
      <c r="BS34" s="139">
        <v>0.5</v>
      </c>
      <c r="BT34" s="138">
        <v>0.58499999999999996</v>
      </c>
      <c r="BU34" s="139">
        <v>0.38</v>
      </c>
      <c r="BV34" s="61"/>
    </row>
    <row r="35" spans="1:74" ht="14.25" customHeight="1" x14ac:dyDescent="0.25">
      <c r="A35" s="34">
        <v>2025</v>
      </c>
      <c r="B35" s="136">
        <v>10.1</v>
      </c>
      <c r="C35" s="141">
        <v>13.7</v>
      </c>
      <c r="D35" s="138">
        <f t="shared" ref="D35" si="30">12/B35</f>
        <v>1.1881188118811881</v>
      </c>
      <c r="E35" s="139">
        <f t="shared" ref="E35" si="31">12/C35</f>
        <v>0.87591240875912413</v>
      </c>
      <c r="F35" s="136">
        <v>9.6999999999999993</v>
      </c>
      <c r="G35" s="141">
        <v>15.8</v>
      </c>
      <c r="H35" s="138">
        <f t="shared" ref="H35" si="32">12/F35</f>
        <v>1.2371134020618557</v>
      </c>
      <c r="I35" s="139">
        <f t="shared" ref="I35" si="33">12/G35</f>
        <v>0.75949367088607589</v>
      </c>
      <c r="J35" s="136">
        <v>10.1</v>
      </c>
      <c r="K35" s="141">
        <v>14</v>
      </c>
      <c r="L35" s="138">
        <f t="shared" ref="L35" si="34">12/J35</f>
        <v>1.1881188118811881</v>
      </c>
      <c r="M35" s="139">
        <f t="shared" ref="M35" si="35">12/K35</f>
        <v>0.8571428571428571</v>
      </c>
      <c r="N35" s="136">
        <v>9.6999999999999993</v>
      </c>
      <c r="O35" s="141">
        <v>16.100000000000001</v>
      </c>
      <c r="P35" s="138">
        <f t="shared" ref="P35" si="36">12/N35</f>
        <v>1.2371134020618557</v>
      </c>
      <c r="Q35" s="139">
        <f t="shared" ref="Q35" si="37">12/O35</f>
        <v>0.74534161490683226</v>
      </c>
      <c r="R35" s="136">
        <v>10.1</v>
      </c>
      <c r="S35" s="140">
        <v>13.7</v>
      </c>
      <c r="T35" s="138">
        <f t="shared" ref="T35" si="38">12/R35</f>
        <v>1.1881188118811881</v>
      </c>
      <c r="U35" s="139">
        <f t="shared" ref="U35" si="39">12/S35</f>
        <v>0.87591240875912413</v>
      </c>
      <c r="V35" s="136">
        <v>9.6999999999999993</v>
      </c>
      <c r="W35" s="140">
        <v>15.8</v>
      </c>
      <c r="X35" s="138">
        <f t="shared" si="10"/>
        <v>1.2371134020618557</v>
      </c>
      <c r="Y35" s="139">
        <f t="shared" si="11"/>
        <v>0.75949367088607589</v>
      </c>
      <c r="Z35" s="137">
        <v>10.1</v>
      </c>
      <c r="AA35" s="141">
        <v>14</v>
      </c>
      <c r="AB35" s="138">
        <f t="shared" ref="AB35" si="40">12/Z35</f>
        <v>1.1881188118811881</v>
      </c>
      <c r="AC35" s="139">
        <f t="shared" ref="AC35" si="41">12/AA35</f>
        <v>0.8571428571428571</v>
      </c>
      <c r="AD35" s="137">
        <v>9.6999999999999993</v>
      </c>
      <c r="AE35" s="141">
        <v>16.100000000000001</v>
      </c>
      <c r="AF35" s="138">
        <f t="shared" ref="AF35" si="42">12/AD35</f>
        <v>1.2371134020618557</v>
      </c>
      <c r="AG35" s="139">
        <f t="shared" ref="AG35" si="43">12/AE35</f>
        <v>0.74534161490683226</v>
      </c>
      <c r="AH35" s="138">
        <v>0.75</v>
      </c>
      <c r="AI35" s="139">
        <v>0.6</v>
      </c>
      <c r="AJ35" s="138">
        <v>0.78</v>
      </c>
      <c r="AK35" s="139">
        <v>0.5</v>
      </c>
      <c r="AL35" s="138">
        <v>0.72</v>
      </c>
      <c r="AM35" s="139">
        <v>0.56000000000000005</v>
      </c>
      <c r="AN35" s="138">
        <v>0.75</v>
      </c>
      <c r="AO35" s="139">
        <v>0.49</v>
      </c>
      <c r="AP35" s="138">
        <v>0.66</v>
      </c>
      <c r="AQ35" s="139">
        <v>0.54</v>
      </c>
      <c r="AR35" s="138">
        <v>0.68</v>
      </c>
      <c r="AS35" s="139">
        <v>0.44</v>
      </c>
      <c r="AT35" s="138">
        <v>0.61</v>
      </c>
      <c r="AU35" s="139">
        <v>0.52</v>
      </c>
      <c r="AV35" s="138">
        <v>0.625</v>
      </c>
      <c r="AW35" s="139">
        <v>0.41</v>
      </c>
      <c r="AX35" s="138">
        <v>0.56000000000000005</v>
      </c>
      <c r="AY35" s="139">
        <v>0.5</v>
      </c>
      <c r="AZ35" s="138">
        <v>0.58499999999999996</v>
      </c>
      <c r="BA35" s="139">
        <v>0.38</v>
      </c>
      <c r="BB35" s="138">
        <v>0.61</v>
      </c>
      <c r="BC35" s="139">
        <v>0.55000000000000004</v>
      </c>
      <c r="BD35" s="138">
        <v>0.69499999999999995</v>
      </c>
      <c r="BE35" s="139">
        <v>0.44</v>
      </c>
      <c r="BF35" s="138">
        <v>0.61</v>
      </c>
      <c r="BG35" s="139">
        <v>0.55000000000000004</v>
      </c>
      <c r="BH35" s="138">
        <v>0.63500000000000001</v>
      </c>
      <c r="BI35" s="139">
        <v>0.4</v>
      </c>
      <c r="BJ35" s="138">
        <v>0.56000000000000005</v>
      </c>
      <c r="BK35" s="139">
        <v>0.52</v>
      </c>
      <c r="BL35" s="138">
        <v>0.59499999999999997</v>
      </c>
      <c r="BM35" s="139">
        <v>0.39</v>
      </c>
      <c r="BN35" s="138">
        <v>0.56000000000000005</v>
      </c>
      <c r="BO35" s="139">
        <v>0.5</v>
      </c>
      <c r="BP35" s="138">
        <v>0.58499999999999996</v>
      </c>
      <c r="BQ35" s="139">
        <v>0.38</v>
      </c>
      <c r="BR35" s="138">
        <v>0.56000000000000005</v>
      </c>
      <c r="BS35" s="139">
        <v>0.5</v>
      </c>
      <c r="BT35" s="138">
        <v>0.58499999999999996</v>
      </c>
      <c r="BU35" s="139">
        <v>0.38</v>
      </c>
      <c r="BV35" s="61"/>
    </row>
    <row r="36" spans="1:74" ht="14.25" hidden="1" customHeight="1" x14ac:dyDescent="0.25">
      <c r="A36" s="34" t="str">
        <v>ARTRM9.2</v>
      </c>
      <c r="B36" s="136">
        <v>9.5619999999999994</v>
      </c>
      <c r="C36" s="141">
        <v>12.5</v>
      </c>
      <c r="D36" s="138">
        <f t="shared" ref="D36:D37" si="44">12/B36</f>
        <v>1.2549675800041833</v>
      </c>
      <c r="E36" s="139">
        <f t="shared" ref="E36:E37" si="45">12/C36</f>
        <v>0.96</v>
      </c>
      <c r="F36" s="136">
        <v>9.5619999999999994</v>
      </c>
      <c r="G36" s="141">
        <v>12.5</v>
      </c>
      <c r="H36" s="138">
        <f t="shared" ref="H36:H37" si="46">12/F36</f>
        <v>1.2549675800041833</v>
      </c>
      <c r="I36" s="139">
        <f t="shared" ref="I36:I37" si="47">12/G36</f>
        <v>0.96</v>
      </c>
      <c r="J36" s="136">
        <v>9.5619999999999994</v>
      </c>
      <c r="K36" s="141">
        <v>12.75</v>
      </c>
      <c r="L36" s="138">
        <f t="shared" ref="L36:L37" si="48">12/J36</f>
        <v>1.2549675800041833</v>
      </c>
      <c r="M36" s="139">
        <f t="shared" ref="M36:M37" si="49">12/K36</f>
        <v>0.94117647058823528</v>
      </c>
      <c r="N36" s="136">
        <v>9.5619999999999994</v>
      </c>
      <c r="O36" s="141">
        <v>12.75</v>
      </c>
      <c r="P36" s="138">
        <f t="shared" ref="P36:P37" si="50">12/N36</f>
        <v>1.2549675800041833</v>
      </c>
      <c r="Q36" s="139">
        <f t="shared" ref="Q36:Q37" si="51">12/O36</f>
        <v>0.94117647058823528</v>
      </c>
      <c r="R36" s="136">
        <v>9.5619999999999994</v>
      </c>
      <c r="S36" s="141">
        <v>12.5</v>
      </c>
      <c r="T36" s="138">
        <f t="shared" ref="T36:T37" si="52">12/R36</f>
        <v>1.2549675800041833</v>
      </c>
      <c r="U36" s="139">
        <f t="shared" ref="U36:U37" si="53">12/S36</f>
        <v>0.96</v>
      </c>
      <c r="V36" s="136">
        <v>9.5619999999999994</v>
      </c>
      <c r="W36" s="141">
        <v>12.5</v>
      </c>
      <c r="X36" s="138">
        <f t="shared" si="10"/>
        <v>1.2549675800041833</v>
      </c>
      <c r="Y36" s="139">
        <f t="shared" si="11"/>
        <v>0.96</v>
      </c>
      <c r="Z36" s="136">
        <v>9.5619999999999994</v>
      </c>
      <c r="AA36" s="141">
        <v>12.75</v>
      </c>
      <c r="AB36" s="138">
        <f t="shared" ref="AB36:AB37" si="54">12/Z36</f>
        <v>1.2549675800041833</v>
      </c>
      <c r="AC36" s="139">
        <f t="shared" ref="AC36:AC37" si="55">12/AA36</f>
        <v>0.94117647058823528</v>
      </c>
      <c r="AD36" s="136">
        <v>9.5619999999999994</v>
      </c>
      <c r="AE36" s="141">
        <v>12.75</v>
      </c>
      <c r="AF36" s="138">
        <f t="shared" ref="AF36:AF37" si="56">12/AD36</f>
        <v>1.2549675800041833</v>
      </c>
      <c r="AG36" s="139">
        <f t="shared" ref="AG36:AG37" si="57">12/AE36</f>
        <v>0.94117647058823528</v>
      </c>
      <c r="AH36" s="138">
        <v>0.78</v>
      </c>
      <c r="AI36" s="139">
        <v>0.63</v>
      </c>
      <c r="AJ36" s="138">
        <v>0.8</v>
      </c>
      <c r="AK36" s="139">
        <v>0.6</v>
      </c>
      <c r="AL36" s="138">
        <v>0.77500000000000002</v>
      </c>
      <c r="AM36" s="139">
        <v>0.61499999999999999</v>
      </c>
      <c r="AN36" s="138">
        <v>0.79</v>
      </c>
      <c r="AO36" s="139">
        <v>0.58599999999999997</v>
      </c>
      <c r="AP36" s="138">
        <v>0.68</v>
      </c>
      <c r="AQ36" s="139">
        <v>0.57999999999999996</v>
      </c>
      <c r="AR36" s="138">
        <v>0.71799999999999997</v>
      </c>
      <c r="AS36" s="139">
        <v>0.54</v>
      </c>
      <c r="AT36" s="138">
        <v>0.62</v>
      </c>
      <c r="AU36" s="139">
        <v>0.54</v>
      </c>
      <c r="AV36" s="138">
        <v>0.63900000000000001</v>
      </c>
      <c r="AW36" s="139">
        <v>0.49</v>
      </c>
      <c r="AX36" s="138">
        <v>0.62</v>
      </c>
      <c r="AY36" s="139">
        <v>0.54</v>
      </c>
      <c r="AZ36" s="138">
        <v>0.63900000000000001</v>
      </c>
      <c r="BA36" s="139">
        <v>0.49</v>
      </c>
      <c r="BB36" s="138">
        <v>0.63400000000000001</v>
      </c>
      <c r="BC36" s="139">
        <v>0.59599999999999997</v>
      </c>
      <c r="BD36" s="138">
        <v>0.63900000000000001</v>
      </c>
      <c r="BE36" s="139">
        <v>0.45</v>
      </c>
      <c r="BF36" s="138">
        <v>0.63400000000000001</v>
      </c>
      <c r="BG36" s="139">
        <v>0.59599999999999997</v>
      </c>
      <c r="BH36" s="138">
        <v>0.63900000000000001</v>
      </c>
      <c r="BI36" s="139">
        <v>0.45</v>
      </c>
      <c r="BJ36" s="138">
        <v>0.57599999999999996</v>
      </c>
      <c r="BK36" s="139">
        <v>0.54900000000000004</v>
      </c>
      <c r="BL36" s="138">
        <v>0.6</v>
      </c>
      <c r="BM36" s="139">
        <v>0.4</v>
      </c>
      <c r="BN36" s="138">
        <v>0.57599999999999996</v>
      </c>
      <c r="BO36" s="139">
        <v>0.54900000000000004</v>
      </c>
      <c r="BP36" s="138">
        <v>0.6</v>
      </c>
      <c r="BQ36" s="139">
        <v>0.4</v>
      </c>
      <c r="BR36" s="138">
        <v>0.56999999999999995</v>
      </c>
      <c r="BS36" s="139">
        <v>0.53900000000000003</v>
      </c>
      <c r="BT36" s="138">
        <v>0.59</v>
      </c>
      <c r="BU36" s="139">
        <v>0.4</v>
      </c>
      <c r="BV36" s="61"/>
    </row>
    <row r="37" spans="1:74" ht="14.25" customHeight="1" x14ac:dyDescent="0.25">
      <c r="A37" s="34" t="str">
        <v>CPS</v>
      </c>
      <c r="B37" s="136">
        <v>10.1</v>
      </c>
      <c r="C37" s="141">
        <v>13.7</v>
      </c>
      <c r="D37" s="138">
        <f t="shared" si="44"/>
        <v>1.1881188118811881</v>
      </c>
      <c r="E37" s="139">
        <f t="shared" si="45"/>
        <v>0.87591240875912413</v>
      </c>
      <c r="F37" s="136">
        <v>9.6999999999999993</v>
      </c>
      <c r="G37" s="141">
        <v>15.8</v>
      </c>
      <c r="H37" s="138">
        <f t="shared" si="46"/>
        <v>1.2371134020618557</v>
      </c>
      <c r="I37" s="139">
        <f t="shared" si="47"/>
        <v>0.75949367088607589</v>
      </c>
      <c r="J37" s="136">
        <v>10.1</v>
      </c>
      <c r="K37" s="141">
        <v>14</v>
      </c>
      <c r="L37" s="138">
        <f t="shared" si="48"/>
        <v>1.1881188118811881</v>
      </c>
      <c r="M37" s="139">
        <f t="shared" si="49"/>
        <v>0.8571428571428571</v>
      </c>
      <c r="N37" s="136">
        <v>9.6999999999999993</v>
      </c>
      <c r="O37" s="141">
        <v>16.100000000000001</v>
      </c>
      <c r="P37" s="138">
        <f t="shared" si="50"/>
        <v>1.2371134020618557</v>
      </c>
      <c r="Q37" s="139">
        <f t="shared" si="51"/>
        <v>0.74534161490683226</v>
      </c>
      <c r="R37" s="136">
        <f>B37</f>
        <v>10.1</v>
      </c>
      <c r="S37" s="141">
        <f>C37</f>
        <v>13.7</v>
      </c>
      <c r="T37" s="138">
        <f t="shared" si="52"/>
        <v>1.1881188118811881</v>
      </c>
      <c r="U37" s="139">
        <f t="shared" si="53"/>
        <v>0.87591240875912413</v>
      </c>
      <c r="V37" s="136">
        <f>F37</f>
        <v>9.6999999999999993</v>
      </c>
      <c r="W37" s="141">
        <f>G37</f>
        <v>15.8</v>
      </c>
      <c r="X37" s="138">
        <f t="shared" si="10"/>
        <v>1.2371134020618557</v>
      </c>
      <c r="Y37" s="139">
        <f t="shared" si="11"/>
        <v>0.75949367088607589</v>
      </c>
      <c r="Z37" s="136">
        <f>J37</f>
        <v>10.1</v>
      </c>
      <c r="AA37" s="141">
        <f>K37</f>
        <v>14</v>
      </c>
      <c r="AB37" s="138">
        <f t="shared" si="54"/>
        <v>1.1881188118811881</v>
      </c>
      <c r="AC37" s="139">
        <f t="shared" si="55"/>
        <v>0.8571428571428571</v>
      </c>
      <c r="AD37" s="136">
        <f>N37</f>
        <v>9.6999999999999993</v>
      </c>
      <c r="AE37" s="141">
        <f>O37</f>
        <v>16.100000000000001</v>
      </c>
      <c r="AF37" s="138">
        <f t="shared" si="56"/>
        <v>1.2371134020618557</v>
      </c>
      <c r="AG37" s="139">
        <f t="shared" si="57"/>
        <v>0.74534161490683226</v>
      </c>
      <c r="AH37" s="138">
        <v>0.75</v>
      </c>
      <c r="AI37" s="139">
        <v>0.6</v>
      </c>
      <c r="AJ37" s="138">
        <v>0.78</v>
      </c>
      <c r="AK37" s="139">
        <v>0.5</v>
      </c>
      <c r="AL37" s="138">
        <v>0.72</v>
      </c>
      <c r="AM37" s="139">
        <v>0.56000000000000005</v>
      </c>
      <c r="AN37" s="138">
        <v>0.75</v>
      </c>
      <c r="AO37" s="139">
        <v>0.49</v>
      </c>
      <c r="AP37" s="138">
        <v>0.66</v>
      </c>
      <c r="AQ37" s="139">
        <v>0.54</v>
      </c>
      <c r="AR37" s="138">
        <v>0.68</v>
      </c>
      <c r="AS37" s="139">
        <v>0.44</v>
      </c>
      <c r="AT37" s="138">
        <v>0.61</v>
      </c>
      <c r="AU37" s="139">
        <v>0.52</v>
      </c>
      <c r="AV37" s="138">
        <v>0.625</v>
      </c>
      <c r="AW37" s="139">
        <v>0.41</v>
      </c>
      <c r="AX37" s="138">
        <v>0.56000000000000005</v>
      </c>
      <c r="AY37" s="139">
        <v>0.5</v>
      </c>
      <c r="AZ37" s="138">
        <v>0.58499999999999996</v>
      </c>
      <c r="BA37" s="139">
        <v>0.38</v>
      </c>
      <c r="BB37" s="138">
        <v>0.61</v>
      </c>
      <c r="BC37" s="139">
        <v>0.55000000000000004</v>
      </c>
      <c r="BD37" s="138">
        <v>0.69499999999999995</v>
      </c>
      <c r="BE37" s="139">
        <v>0.44</v>
      </c>
      <c r="BF37" s="138">
        <v>0.61</v>
      </c>
      <c r="BG37" s="139">
        <v>0.55000000000000004</v>
      </c>
      <c r="BH37" s="138">
        <v>0.63500000000000001</v>
      </c>
      <c r="BI37" s="139">
        <v>0.4</v>
      </c>
      <c r="BJ37" s="138">
        <v>0.56000000000000005</v>
      </c>
      <c r="BK37" s="139">
        <v>0.52</v>
      </c>
      <c r="BL37" s="138">
        <v>0.59499999999999997</v>
      </c>
      <c r="BM37" s="139">
        <v>0.39</v>
      </c>
      <c r="BN37" s="138">
        <f>BJ37</f>
        <v>0.56000000000000005</v>
      </c>
      <c r="BO37" s="139">
        <f>BK37</f>
        <v>0.52</v>
      </c>
      <c r="BP37" s="138">
        <f>BL37</f>
        <v>0.59499999999999997</v>
      </c>
      <c r="BQ37" s="139">
        <f>BM37</f>
        <v>0.39</v>
      </c>
      <c r="BR37" s="138">
        <v>0.56000000000000005</v>
      </c>
      <c r="BS37" s="139">
        <v>0.5</v>
      </c>
      <c r="BT37" s="138">
        <v>0.58499999999999996</v>
      </c>
      <c r="BU37" s="139">
        <v>0.38</v>
      </c>
      <c r="BV37" s="61"/>
    </row>
    <row r="42" spans="1:74" x14ac:dyDescent="0.25">
      <c r="L42" s="90"/>
      <c r="P42" s="90"/>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dimension ref="A1:AM58"/>
  <sheetViews>
    <sheetView topLeftCell="A12" zoomScale="80" zoomScaleNormal="80" workbookViewId="0">
      <selection activeCell="J26" sqref="J26"/>
    </sheetView>
  </sheetViews>
  <sheetFormatPr defaultColWidth="9.140625" defaultRowHeight="15" x14ac:dyDescent="0.25"/>
  <cols>
    <col min="1" max="1" width="9.140625" style="35"/>
    <col min="2" max="2" width="13" style="35" customWidth="1"/>
    <col min="3" max="38" width="28.140625" style="48" customWidth="1"/>
    <col min="39" max="39" width="48" style="35" customWidth="1"/>
    <col min="40" max="40" width="4.28515625" style="35" customWidth="1"/>
    <col min="41" max="16384" width="9.140625" style="35"/>
  </cols>
  <sheetData>
    <row r="1" spans="1:39" x14ac:dyDescent="0.25">
      <c r="C1" s="661" t="s">
        <v>59</v>
      </c>
      <c r="D1"/>
      <c r="E1" s="661" t="s">
        <v>59</v>
      </c>
      <c r="F1"/>
      <c r="G1" s="661" t="s">
        <v>59</v>
      </c>
      <c r="H1"/>
      <c r="I1" s="661" t="s">
        <v>59</v>
      </c>
      <c r="J1"/>
      <c r="K1" s="661" t="s">
        <v>59</v>
      </c>
      <c r="L1"/>
      <c r="M1" s="661" t="s">
        <v>59</v>
      </c>
      <c r="N1"/>
      <c r="O1" s="661" t="s">
        <v>73</v>
      </c>
      <c r="P1"/>
      <c r="Q1"/>
      <c r="R1"/>
      <c r="S1" s="661" t="s">
        <v>73</v>
      </c>
      <c r="T1"/>
      <c r="U1"/>
      <c r="V1"/>
      <c r="W1" s="661" t="s">
        <v>73</v>
      </c>
      <c r="X1"/>
      <c r="Y1"/>
      <c r="Z1"/>
      <c r="AA1" s="661" t="s">
        <v>73</v>
      </c>
      <c r="AB1"/>
      <c r="AC1"/>
      <c r="AD1"/>
      <c r="AE1" s="661" t="s">
        <v>73</v>
      </c>
      <c r="AF1"/>
      <c r="AG1"/>
      <c r="AH1"/>
      <c r="AI1" s="661" t="s">
        <v>73</v>
      </c>
      <c r="AJ1"/>
      <c r="AK1"/>
      <c r="AL1"/>
    </row>
    <row r="2" spans="1:39" x14ac:dyDescent="0.25">
      <c r="C2" t="s">
        <v>370</v>
      </c>
      <c r="D2"/>
      <c r="E2" t="s">
        <v>370</v>
      </c>
      <c r="F2"/>
      <c r="G2" t="s">
        <v>370</v>
      </c>
      <c r="H2"/>
      <c r="I2" t="s">
        <v>373</v>
      </c>
      <c r="J2"/>
      <c r="K2" t="s">
        <v>373</v>
      </c>
      <c r="L2"/>
      <c r="M2" t="s">
        <v>373</v>
      </c>
      <c r="N2"/>
      <c r="O2" t="s">
        <v>370</v>
      </c>
      <c r="P2"/>
      <c r="Q2"/>
      <c r="R2"/>
      <c r="S2" t="s">
        <v>370</v>
      </c>
      <c r="T2"/>
      <c r="U2"/>
      <c r="V2"/>
      <c r="W2" t="s">
        <v>370</v>
      </c>
      <c r="X2"/>
      <c r="Y2"/>
      <c r="Z2"/>
      <c r="AA2" t="s">
        <v>373</v>
      </c>
      <c r="AB2"/>
      <c r="AC2"/>
      <c r="AD2"/>
      <c r="AE2" t="s">
        <v>373</v>
      </c>
      <c r="AF2"/>
      <c r="AG2"/>
      <c r="AH2"/>
      <c r="AI2" t="s">
        <v>373</v>
      </c>
      <c r="AJ2"/>
      <c r="AK2"/>
      <c r="AL2"/>
    </row>
    <row r="3" spans="1:39" x14ac:dyDescent="0.25">
      <c r="C3" t="s">
        <v>1482</v>
      </c>
      <c r="D3"/>
      <c r="E3" s="74" t="s">
        <v>1483</v>
      </c>
      <c r="G3" s="74" t="s">
        <v>1484</v>
      </c>
      <c r="I3" t="s">
        <v>1482</v>
      </c>
      <c r="J3"/>
      <c r="K3" s="74" t="s">
        <v>1483</v>
      </c>
      <c r="M3" s="74" t="s">
        <v>1484</v>
      </c>
      <c r="O3" t="s">
        <v>1482</v>
      </c>
      <c r="S3" s="74" t="s">
        <v>1483</v>
      </c>
      <c r="W3" s="74" t="s">
        <v>1484</v>
      </c>
      <c r="AA3" t="s">
        <v>1482</v>
      </c>
      <c r="AE3" s="74" t="s">
        <v>1483</v>
      </c>
      <c r="AI3" s="74" t="s">
        <v>1484</v>
      </c>
    </row>
    <row r="4" spans="1:39" x14ac:dyDescent="0.25">
      <c r="C4"/>
      <c r="D4"/>
      <c r="I4"/>
      <c r="J4"/>
    </row>
    <row r="5" spans="1:39" x14ac:dyDescent="0.25">
      <c r="C5" t="str">
        <f>C1&amp;C2&amp;C3&amp;C4</f>
        <v>PackagedTerminalAirConditionerStandardSizeLessthan7kbtuh</v>
      </c>
      <c r="D5"/>
      <c r="E5" t="str">
        <f>E1&amp;E2&amp;E3&amp;E4</f>
        <v>PackagedTerminalAirConditionerStandardSize7kbtuhto15kbtuh</v>
      </c>
      <c r="F5"/>
      <c r="G5" t="str">
        <f>G1&amp;G2&amp;G3&amp;G4</f>
        <v>PackagedTerminalAirConditionerStandardSizeGreaterthan15kbtuh</v>
      </c>
      <c r="H5"/>
      <c r="I5" t="str">
        <f>I1&amp;I2&amp;I3&amp;I4</f>
        <v>PackagedTerminalAirConditionerNonStandardSizeLessthan7kbtuh</v>
      </c>
      <c r="J5"/>
      <c r="K5" t="str">
        <f>K1&amp;K2&amp;K3&amp;K4</f>
        <v>PackagedTerminalAirConditionerNonStandardSize7kbtuhto15kbtuh</v>
      </c>
      <c r="L5"/>
      <c r="M5" t="str">
        <f>M1&amp;M2&amp;M3&amp;M4</f>
        <v>PackagedTerminalAirConditionerNonStandardSizeGreaterthan15kbtuh</v>
      </c>
      <c r="N5"/>
      <c r="O5" t="str">
        <f t="shared" ref="O5" si="0">O1&amp;O2&amp;O3&amp;O4</f>
        <v>PackagedTerminalHeatPumpStandardSizeLessthan7kbtuh</v>
      </c>
      <c r="P5"/>
      <c r="Q5"/>
      <c r="R5"/>
      <c r="S5" t="str">
        <f t="shared" ref="S5" si="1">S1&amp;S2&amp;S3&amp;S4</f>
        <v>PackagedTerminalHeatPumpStandardSize7kbtuhto15kbtuh</v>
      </c>
      <c r="T5"/>
      <c r="U5"/>
      <c r="V5"/>
      <c r="W5" t="str">
        <f t="shared" ref="W5" si="2">W1&amp;W2&amp;W3&amp;W4</f>
        <v>PackagedTerminalHeatPumpStandardSizeGreaterthan15kbtuh</v>
      </c>
      <c r="X5"/>
      <c r="Y5"/>
      <c r="Z5"/>
      <c r="AA5" t="str">
        <f t="shared" ref="AA5" si="3">AA1&amp;AA2&amp;AA3&amp;AA4</f>
        <v>PackagedTerminalHeatPumpNonStandardSizeLessthan7kbtuh</v>
      </c>
      <c r="AB5"/>
      <c r="AC5"/>
      <c r="AD5"/>
      <c r="AE5" t="str">
        <f t="shared" ref="AE5" si="4">AE1&amp;AE2&amp;AE3&amp;AE4</f>
        <v>PackagedTerminalHeatPumpNonStandardSize7kbtuhto15kbtuh</v>
      </c>
      <c r="AF5"/>
      <c r="AG5"/>
      <c r="AH5"/>
      <c r="AI5" t="str">
        <f t="shared" ref="AI5" si="5">AI1&amp;AI2&amp;AI3&amp;AI4</f>
        <v>PackagedTerminalHeatPumpNonStandardSizeGreaterthan15kbtuh</v>
      </c>
      <c r="AJ5"/>
      <c r="AK5"/>
      <c r="AL5"/>
    </row>
    <row r="6" spans="1:39" x14ac:dyDescent="0.25">
      <c r="C6" s="74"/>
      <c r="D6" s="74"/>
      <c r="E6" s="74"/>
      <c r="F6" s="74"/>
      <c r="G6" s="74"/>
      <c r="H6" s="74"/>
      <c r="I6" s="74"/>
      <c r="J6" s="74"/>
      <c r="K6" s="74"/>
      <c r="L6" s="74"/>
      <c r="M6" s="74"/>
      <c r="N6" s="74"/>
      <c r="O6" s="74"/>
      <c r="P6" s="74"/>
      <c r="Q6" s="74"/>
      <c r="R6" s="74"/>
      <c r="S6" s="74"/>
      <c r="T6" s="74"/>
      <c r="U6" s="74"/>
      <c r="V6" s="74"/>
      <c r="W6" s="74"/>
      <c r="X6" s="74"/>
      <c r="Y6" s="74"/>
      <c r="Z6" s="74"/>
      <c r="AA6" s="74"/>
      <c r="AB6" s="74"/>
      <c r="AC6" s="74"/>
      <c r="AD6" s="74"/>
      <c r="AE6" s="74"/>
      <c r="AF6" s="74"/>
      <c r="AG6" s="74"/>
      <c r="AH6" s="74"/>
      <c r="AI6" s="74"/>
      <c r="AJ6" s="74"/>
      <c r="AK6" s="74"/>
      <c r="AL6" s="74"/>
    </row>
    <row r="7" spans="1:39" x14ac:dyDescent="0.25">
      <c r="C7" s="74"/>
      <c r="D7" s="74"/>
      <c r="I7" s="74"/>
      <c r="J7" s="74"/>
    </row>
    <row r="8" spans="1:39" ht="65.25" customHeight="1" x14ac:dyDescent="0.25">
      <c r="A8" s="938" t="s">
        <v>26</v>
      </c>
      <c r="B8" s="938"/>
      <c r="C8" s="42" t="s">
        <v>1478</v>
      </c>
      <c r="D8" s="42"/>
      <c r="E8" s="41" t="s">
        <v>1478</v>
      </c>
      <c r="F8" s="41"/>
      <c r="G8" s="41" t="s">
        <v>1478</v>
      </c>
      <c r="H8" s="41"/>
      <c r="I8" s="42" t="s">
        <v>1478</v>
      </c>
      <c r="J8" s="42"/>
      <c r="K8" s="41" t="s">
        <v>1478</v>
      </c>
      <c r="L8" s="41"/>
      <c r="M8" s="41" t="s">
        <v>1478</v>
      </c>
      <c r="N8" s="41"/>
      <c r="O8" s="42" t="s">
        <v>1478</v>
      </c>
      <c r="P8" s="42"/>
      <c r="Q8" s="41" t="s">
        <v>1481</v>
      </c>
      <c r="R8" s="41"/>
      <c r="S8" s="42" t="s">
        <v>1478</v>
      </c>
      <c r="T8" s="42"/>
      <c r="U8" s="41" t="s">
        <v>1481</v>
      </c>
      <c r="V8" s="41"/>
      <c r="W8" s="42" t="s">
        <v>1478</v>
      </c>
      <c r="X8" s="42"/>
      <c r="Y8" s="41" t="s">
        <v>1481</v>
      </c>
      <c r="Z8" s="41"/>
      <c r="AA8" s="42" t="s">
        <v>1478</v>
      </c>
      <c r="AB8" s="42"/>
      <c r="AC8" s="41" t="s">
        <v>1481</v>
      </c>
      <c r="AD8" s="41"/>
      <c r="AE8" s="42" t="s">
        <v>1478</v>
      </c>
      <c r="AF8" s="42"/>
      <c r="AG8" s="41" t="s">
        <v>1481</v>
      </c>
      <c r="AH8" s="41"/>
      <c r="AI8" s="42" t="s">
        <v>1478</v>
      </c>
      <c r="AJ8" s="42"/>
      <c r="AK8" s="41" t="s">
        <v>1481</v>
      </c>
      <c r="AL8" s="41"/>
      <c r="AM8" s="934" t="s">
        <v>0</v>
      </c>
    </row>
    <row r="9" spans="1:39" ht="21" customHeight="1" x14ac:dyDescent="0.25">
      <c r="A9" s="938"/>
      <c r="B9" s="938"/>
      <c r="C9" s="42" t="s">
        <v>1479</v>
      </c>
      <c r="D9" s="42" t="s">
        <v>1480</v>
      </c>
      <c r="E9" s="42" t="s">
        <v>1479</v>
      </c>
      <c r="F9" s="42" t="s">
        <v>1480</v>
      </c>
      <c r="G9" s="42" t="s">
        <v>1479</v>
      </c>
      <c r="H9" s="42" t="s">
        <v>1480</v>
      </c>
      <c r="I9" s="42" t="s">
        <v>1479</v>
      </c>
      <c r="J9" s="42" t="s">
        <v>1480</v>
      </c>
      <c r="K9" s="42" t="s">
        <v>1479</v>
      </c>
      <c r="L9" s="42" t="s">
        <v>1480</v>
      </c>
      <c r="M9" s="42" t="s">
        <v>1479</v>
      </c>
      <c r="N9" s="42" t="s">
        <v>1480</v>
      </c>
      <c r="O9" s="42" t="s">
        <v>1479</v>
      </c>
      <c r="P9" s="42" t="s">
        <v>1480</v>
      </c>
      <c r="Q9" s="42" t="s">
        <v>1479</v>
      </c>
      <c r="R9" s="42" t="s">
        <v>1480</v>
      </c>
      <c r="S9" s="42" t="s">
        <v>1479</v>
      </c>
      <c r="T9" s="42" t="s">
        <v>1480</v>
      </c>
      <c r="U9" s="42" t="s">
        <v>1479</v>
      </c>
      <c r="V9" s="42" t="s">
        <v>1480</v>
      </c>
      <c r="W9" s="42" t="s">
        <v>1479</v>
      </c>
      <c r="X9" s="42" t="s">
        <v>1480</v>
      </c>
      <c r="Y9" s="42" t="s">
        <v>1479</v>
      </c>
      <c r="Z9" s="42" t="s">
        <v>1480</v>
      </c>
      <c r="AA9" s="42" t="s">
        <v>1479</v>
      </c>
      <c r="AB9" s="42" t="s">
        <v>1480</v>
      </c>
      <c r="AC9" s="42" t="s">
        <v>1479</v>
      </c>
      <c r="AD9" s="42" t="s">
        <v>1480</v>
      </c>
      <c r="AE9" s="42" t="s">
        <v>1479</v>
      </c>
      <c r="AF9" s="42" t="s">
        <v>1480</v>
      </c>
      <c r="AG9" s="42" t="s">
        <v>1479</v>
      </c>
      <c r="AH9" s="42" t="s">
        <v>1480</v>
      </c>
      <c r="AI9" s="42" t="s">
        <v>1479</v>
      </c>
      <c r="AJ9" s="42" t="s">
        <v>1480</v>
      </c>
      <c r="AK9" s="42" t="s">
        <v>1479</v>
      </c>
      <c r="AL9" s="42" t="s">
        <v>1480</v>
      </c>
      <c r="AM9" s="935"/>
    </row>
    <row r="10" spans="1:39" ht="15" customHeight="1" x14ac:dyDescent="0.25">
      <c r="A10" s="936" t="s">
        <v>11</v>
      </c>
      <c r="B10" s="41" cm="1">
        <f t="array" ref="B10:B40">BaselineRow</f>
        <v>1997</v>
      </c>
      <c r="C10" s="226">
        <v>11</v>
      </c>
      <c r="D10" s="226">
        <v>0</v>
      </c>
      <c r="E10" s="226">
        <v>12.5</v>
      </c>
      <c r="F10" s="644">
        <v>-2.13E-4</v>
      </c>
      <c r="G10" s="226">
        <v>9.3000000000000007</v>
      </c>
      <c r="H10" s="226">
        <v>0</v>
      </c>
      <c r="I10" s="226">
        <v>9.4</v>
      </c>
      <c r="J10" s="644">
        <v>0</v>
      </c>
      <c r="K10" s="226">
        <v>10.9</v>
      </c>
      <c r="L10" s="644">
        <v>-2.13E-4</v>
      </c>
      <c r="M10" s="226">
        <v>7.7</v>
      </c>
      <c r="N10" s="644">
        <v>0</v>
      </c>
      <c r="O10" s="206">
        <v>10.8</v>
      </c>
      <c r="P10" s="206">
        <v>0</v>
      </c>
      <c r="Q10" s="206">
        <v>3</v>
      </c>
      <c r="R10" s="206">
        <v>0</v>
      </c>
      <c r="S10" s="206">
        <v>12.3</v>
      </c>
      <c r="T10" s="645">
        <f t="shared" ref="T10:T26" si="6">-0.213/1000</f>
        <v>-2.13E-4</v>
      </c>
      <c r="U10" s="206">
        <v>3.2</v>
      </c>
      <c r="V10" s="645">
        <f t="shared" ref="V10:V26" si="7">-0.026/1000</f>
        <v>-2.5999999999999998E-5</v>
      </c>
      <c r="W10" s="206">
        <v>9.1</v>
      </c>
      <c r="X10" s="206">
        <v>0</v>
      </c>
      <c r="Y10" s="206">
        <v>2.8</v>
      </c>
      <c r="Z10" s="206">
        <v>0</v>
      </c>
      <c r="AA10" s="226">
        <v>9.3000000000000007</v>
      </c>
      <c r="AB10" s="645">
        <v>0</v>
      </c>
      <c r="AC10" s="226">
        <v>2.7</v>
      </c>
      <c r="AD10" s="644">
        <v>0</v>
      </c>
      <c r="AE10" s="226">
        <v>10.8</v>
      </c>
      <c r="AF10" s="645">
        <f>-0.213/1000</f>
        <v>-2.13E-4</v>
      </c>
      <c r="AG10" s="226">
        <v>2.9</v>
      </c>
      <c r="AH10" s="644">
        <f>-0.026/1000</f>
        <v>-2.5999999999999998E-5</v>
      </c>
      <c r="AI10" s="226">
        <v>7.6</v>
      </c>
      <c r="AJ10" s="645">
        <v>0</v>
      </c>
      <c r="AK10" s="226">
        <v>2.5</v>
      </c>
      <c r="AL10" s="644">
        <v>0</v>
      </c>
      <c r="AM10" s="49" t="s">
        <v>1</v>
      </c>
    </row>
    <row r="11" spans="1:39" x14ac:dyDescent="0.25">
      <c r="A11" s="937"/>
      <c r="B11" s="41">
        <v>1998</v>
      </c>
      <c r="C11" s="226">
        <v>11</v>
      </c>
      <c r="D11" s="226">
        <v>0</v>
      </c>
      <c r="E11" s="226">
        <v>12.5</v>
      </c>
      <c r="F11" s="644">
        <v>-2.13E-4</v>
      </c>
      <c r="G11" s="226">
        <v>9.3000000000000007</v>
      </c>
      <c r="H11" s="226">
        <v>0</v>
      </c>
      <c r="I11" s="226">
        <v>9.4</v>
      </c>
      <c r="J11" s="644">
        <v>0</v>
      </c>
      <c r="K11" s="226">
        <v>10.9</v>
      </c>
      <c r="L11" s="644">
        <v>-2.13E-4</v>
      </c>
      <c r="M11" s="226">
        <v>7.7</v>
      </c>
      <c r="N11" s="644">
        <v>0</v>
      </c>
      <c r="O11" s="206">
        <v>10.8</v>
      </c>
      <c r="P11" s="206">
        <v>0</v>
      </c>
      <c r="Q11" s="206">
        <v>3</v>
      </c>
      <c r="R11" s="206">
        <v>0</v>
      </c>
      <c r="S11" s="206">
        <v>12.3</v>
      </c>
      <c r="T11" s="645">
        <f t="shared" si="6"/>
        <v>-2.13E-4</v>
      </c>
      <c r="U11" s="206">
        <v>3.2</v>
      </c>
      <c r="V11" s="645">
        <f t="shared" si="7"/>
        <v>-2.5999999999999998E-5</v>
      </c>
      <c r="W11" s="206">
        <v>9.1</v>
      </c>
      <c r="X11" s="206">
        <v>0</v>
      </c>
      <c r="Y11" s="206">
        <v>2.8</v>
      </c>
      <c r="Z11" s="206">
        <v>0</v>
      </c>
      <c r="AA11" s="226">
        <v>9.3000000000000007</v>
      </c>
      <c r="AB11" s="645">
        <v>0</v>
      </c>
      <c r="AC11" s="226">
        <v>2.7</v>
      </c>
      <c r="AD11" s="644">
        <v>0</v>
      </c>
      <c r="AE11" s="226">
        <v>10.8</v>
      </c>
      <c r="AF11" s="645">
        <f t="shared" ref="AF11:AF40" si="8">-0.213/1000</f>
        <v>-2.13E-4</v>
      </c>
      <c r="AG11" s="226">
        <v>2.9</v>
      </c>
      <c r="AH11" s="644">
        <f t="shared" ref="AH11:AH40" si="9">-0.026/1000</f>
        <v>-2.5999999999999998E-5</v>
      </c>
      <c r="AI11" s="226">
        <v>7.6</v>
      </c>
      <c r="AJ11" s="645">
        <v>0</v>
      </c>
      <c r="AK11" s="226">
        <v>2.5</v>
      </c>
      <c r="AL11" s="644">
        <v>0</v>
      </c>
      <c r="AM11" s="49" t="s">
        <v>1</v>
      </c>
    </row>
    <row r="12" spans="1:39" x14ac:dyDescent="0.25">
      <c r="A12" s="937"/>
      <c r="B12" s="41">
        <v>1999</v>
      </c>
      <c r="C12" s="226">
        <v>11</v>
      </c>
      <c r="D12" s="226">
        <v>0</v>
      </c>
      <c r="E12" s="226">
        <v>12.5</v>
      </c>
      <c r="F12" s="644">
        <v>-2.13E-4</v>
      </c>
      <c r="G12" s="226">
        <v>9.3000000000000007</v>
      </c>
      <c r="H12" s="226">
        <v>0</v>
      </c>
      <c r="I12" s="226">
        <v>9.4</v>
      </c>
      <c r="J12" s="644">
        <v>0</v>
      </c>
      <c r="K12" s="226">
        <v>10.9</v>
      </c>
      <c r="L12" s="644">
        <v>-2.13E-4</v>
      </c>
      <c r="M12" s="226">
        <v>7.7</v>
      </c>
      <c r="N12" s="644">
        <v>0</v>
      </c>
      <c r="O12" s="206">
        <v>10.8</v>
      </c>
      <c r="P12" s="206">
        <v>0</v>
      </c>
      <c r="Q12" s="206">
        <v>3</v>
      </c>
      <c r="R12" s="206">
        <v>0</v>
      </c>
      <c r="S12" s="206">
        <v>12.3</v>
      </c>
      <c r="T12" s="645">
        <f t="shared" si="6"/>
        <v>-2.13E-4</v>
      </c>
      <c r="U12" s="206">
        <v>3.2</v>
      </c>
      <c r="V12" s="645">
        <f t="shared" si="7"/>
        <v>-2.5999999999999998E-5</v>
      </c>
      <c r="W12" s="206">
        <v>9.1</v>
      </c>
      <c r="X12" s="206">
        <v>0</v>
      </c>
      <c r="Y12" s="206">
        <v>2.8</v>
      </c>
      <c r="Z12" s="206">
        <v>0</v>
      </c>
      <c r="AA12" s="226">
        <v>9.3000000000000007</v>
      </c>
      <c r="AB12" s="645">
        <v>0</v>
      </c>
      <c r="AC12" s="226">
        <v>2.7</v>
      </c>
      <c r="AD12" s="644">
        <v>0</v>
      </c>
      <c r="AE12" s="226">
        <v>10.8</v>
      </c>
      <c r="AF12" s="645">
        <f t="shared" si="8"/>
        <v>-2.13E-4</v>
      </c>
      <c r="AG12" s="226">
        <v>2.9</v>
      </c>
      <c r="AH12" s="644">
        <f t="shared" si="9"/>
        <v>-2.5999999999999998E-5</v>
      </c>
      <c r="AI12" s="226">
        <v>7.6</v>
      </c>
      <c r="AJ12" s="645">
        <v>0</v>
      </c>
      <c r="AK12" s="226">
        <v>2.5</v>
      </c>
      <c r="AL12" s="644">
        <v>0</v>
      </c>
      <c r="AM12" s="49" t="s">
        <v>1</v>
      </c>
    </row>
    <row r="13" spans="1:39" x14ac:dyDescent="0.25">
      <c r="A13" s="937"/>
      <c r="B13" s="41">
        <v>2000</v>
      </c>
      <c r="C13" s="226">
        <v>11</v>
      </c>
      <c r="D13" s="226">
        <v>0</v>
      </c>
      <c r="E13" s="226">
        <v>12.5</v>
      </c>
      <c r="F13" s="644">
        <v>-2.13E-4</v>
      </c>
      <c r="G13" s="226">
        <v>9.3000000000000007</v>
      </c>
      <c r="H13" s="226">
        <v>0</v>
      </c>
      <c r="I13" s="226">
        <v>9.4</v>
      </c>
      <c r="J13" s="644">
        <v>0</v>
      </c>
      <c r="K13" s="226">
        <v>10.9</v>
      </c>
      <c r="L13" s="644">
        <v>-2.13E-4</v>
      </c>
      <c r="M13" s="226">
        <v>7.7</v>
      </c>
      <c r="N13" s="644">
        <v>0</v>
      </c>
      <c r="O13" s="206">
        <v>10.8</v>
      </c>
      <c r="P13" s="206">
        <v>0</v>
      </c>
      <c r="Q13" s="206">
        <v>3</v>
      </c>
      <c r="R13" s="206">
        <v>0</v>
      </c>
      <c r="S13" s="206">
        <v>12.3</v>
      </c>
      <c r="T13" s="645">
        <f t="shared" si="6"/>
        <v>-2.13E-4</v>
      </c>
      <c r="U13" s="206">
        <v>3.2</v>
      </c>
      <c r="V13" s="645">
        <f t="shared" si="7"/>
        <v>-2.5999999999999998E-5</v>
      </c>
      <c r="W13" s="206">
        <v>9.1</v>
      </c>
      <c r="X13" s="206">
        <v>0</v>
      </c>
      <c r="Y13" s="206">
        <v>2.8</v>
      </c>
      <c r="Z13" s="206">
        <v>0</v>
      </c>
      <c r="AA13" s="226">
        <v>9.3000000000000007</v>
      </c>
      <c r="AB13" s="645">
        <v>0</v>
      </c>
      <c r="AC13" s="226">
        <v>2.7</v>
      </c>
      <c r="AD13" s="644">
        <v>0</v>
      </c>
      <c r="AE13" s="226">
        <v>10.8</v>
      </c>
      <c r="AF13" s="645">
        <f t="shared" si="8"/>
        <v>-2.13E-4</v>
      </c>
      <c r="AG13" s="226">
        <v>2.9</v>
      </c>
      <c r="AH13" s="644">
        <f t="shared" si="9"/>
        <v>-2.5999999999999998E-5</v>
      </c>
      <c r="AI13" s="226">
        <v>7.6</v>
      </c>
      <c r="AJ13" s="645">
        <v>0</v>
      </c>
      <c r="AK13" s="226">
        <v>2.5</v>
      </c>
      <c r="AL13" s="644">
        <v>0</v>
      </c>
      <c r="AM13" s="49" t="s">
        <v>1</v>
      </c>
    </row>
    <row r="14" spans="1:39" x14ac:dyDescent="0.25">
      <c r="A14" s="937"/>
      <c r="B14" s="41">
        <v>2001</v>
      </c>
      <c r="C14" s="226">
        <v>11</v>
      </c>
      <c r="D14" s="226">
        <v>0</v>
      </c>
      <c r="E14" s="226">
        <v>12.5</v>
      </c>
      <c r="F14" s="644">
        <v>-2.13E-4</v>
      </c>
      <c r="G14" s="226">
        <v>9.3000000000000007</v>
      </c>
      <c r="H14" s="226">
        <v>0</v>
      </c>
      <c r="I14" s="226">
        <v>9.4</v>
      </c>
      <c r="J14" s="644">
        <v>0</v>
      </c>
      <c r="K14" s="226">
        <v>10.9</v>
      </c>
      <c r="L14" s="644">
        <v>-2.13E-4</v>
      </c>
      <c r="M14" s="226">
        <v>7.7</v>
      </c>
      <c r="N14" s="644">
        <v>0</v>
      </c>
      <c r="O14" s="206">
        <v>10.8</v>
      </c>
      <c r="P14" s="206">
        <v>0</v>
      </c>
      <c r="Q14" s="206">
        <v>3</v>
      </c>
      <c r="R14" s="206">
        <v>0</v>
      </c>
      <c r="S14" s="206">
        <v>12.3</v>
      </c>
      <c r="T14" s="645">
        <f t="shared" si="6"/>
        <v>-2.13E-4</v>
      </c>
      <c r="U14" s="206">
        <v>3.2</v>
      </c>
      <c r="V14" s="645">
        <f t="shared" si="7"/>
        <v>-2.5999999999999998E-5</v>
      </c>
      <c r="W14" s="206">
        <v>9.1</v>
      </c>
      <c r="X14" s="206">
        <v>0</v>
      </c>
      <c r="Y14" s="206">
        <v>2.8</v>
      </c>
      <c r="Z14" s="206">
        <v>0</v>
      </c>
      <c r="AA14" s="226">
        <v>9.3000000000000007</v>
      </c>
      <c r="AB14" s="645">
        <v>0</v>
      </c>
      <c r="AC14" s="226">
        <v>2.7</v>
      </c>
      <c r="AD14" s="644">
        <v>0</v>
      </c>
      <c r="AE14" s="226">
        <v>10.8</v>
      </c>
      <c r="AF14" s="645">
        <f t="shared" si="8"/>
        <v>-2.13E-4</v>
      </c>
      <c r="AG14" s="226">
        <v>2.9</v>
      </c>
      <c r="AH14" s="644">
        <f t="shared" si="9"/>
        <v>-2.5999999999999998E-5</v>
      </c>
      <c r="AI14" s="226">
        <v>7.6</v>
      </c>
      <c r="AJ14" s="645">
        <v>0</v>
      </c>
      <c r="AK14" s="226">
        <v>2.5</v>
      </c>
      <c r="AL14" s="644">
        <v>0</v>
      </c>
      <c r="AM14" s="49" t="s">
        <v>1</v>
      </c>
    </row>
    <row r="15" spans="1:39" x14ac:dyDescent="0.25">
      <c r="A15" s="937"/>
      <c r="B15" s="41">
        <v>2002</v>
      </c>
      <c r="C15" s="226">
        <v>11</v>
      </c>
      <c r="D15" s="226">
        <v>0</v>
      </c>
      <c r="E15" s="226">
        <v>12.5</v>
      </c>
      <c r="F15" s="644">
        <v>-2.13E-4</v>
      </c>
      <c r="G15" s="226">
        <v>9.3000000000000007</v>
      </c>
      <c r="H15" s="226">
        <v>0</v>
      </c>
      <c r="I15" s="226">
        <v>9.4</v>
      </c>
      <c r="J15" s="644">
        <v>0</v>
      </c>
      <c r="K15" s="226">
        <v>10.9</v>
      </c>
      <c r="L15" s="644">
        <v>-2.13E-4</v>
      </c>
      <c r="M15" s="226">
        <v>7.7</v>
      </c>
      <c r="N15" s="644">
        <v>0</v>
      </c>
      <c r="O15" s="206">
        <v>10.8</v>
      </c>
      <c r="P15" s="206">
        <v>0</v>
      </c>
      <c r="Q15" s="206">
        <v>3</v>
      </c>
      <c r="R15" s="206">
        <v>0</v>
      </c>
      <c r="S15" s="206">
        <v>12.3</v>
      </c>
      <c r="T15" s="645">
        <f t="shared" si="6"/>
        <v>-2.13E-4</v>
      </c>
      <c r="U15" s="206">
        <v>3.2</v>
      </c>
      <c r="V15" s="645">
        <f t="shared" si="7"/>
        <v>-2.5999999999999998E-5</v>
      </c>
      <c r="W15" s="206">
        <v>9.1</v>
      </c>
      <c r="X15" s="206">
        <v>0</v>
      </c>
      <c r="Y15" s="206">
        <v>2.8</v>
      </c>
      <c r="Z15" s="206">
        <v>0</v>
      </c>
      <c r="AA15" s="226">
        <v>9.3000000000000007</v>
      </c>
      <c r="AB15" s="645">
        <v>0</v>
      </c>
      <c r="AC15" s="226">
        <v>2.7</v>
      </c>
      <c r="AD15" s="644">
        <v>0</v>
      </c>
      <c r="AE15" s="226">
        <v>10.8</v>
      </c>
      <c r="AF15" s="645">
        <f t="shared" si="8"/>
        <v>-2.13E-4</v>
      </c>
      <c r="AG15" s="226">
        <v>2.9</v>
      </c>
      <c r="AH15" s="644">
        <f t="shared" si="9"/>
        <v>-2.5999999999999998E-5</v>
      </c>
      <c r="AI15" s="226">
        <v>7.6</v>
      </c>
      <c r="AJ15" s="645">
        <v>0</v>
      </c>
      <c r="AK15" s="226">
        <v>2.5</v>
      </c>
      <c r="AL15" s="644">
        <v>0</v>
      </c>
      <c r="AM15" s="49" t="s">
        <v>3</v>
      </c>
    </row>
    <row r="16" spans="1:39" x14ac:dyDescent="0.25">
      <c r="A16" s="937"/>
      <c r="B16" s="41">
        <v>2003</v>
      </c>
      <c r="C16" s="226">
        <v>11</v>
      </c>
      <c r="D16" s="226">
        <v>0</v>
      </c>
      <c r="E16" s="226">
        <v>12.5</v>
      </c>
      <c r="F16" s="644">
        <v>-2.13E-4</v>
      </c>
      <c r="G16" s="226">
        <v>9.3000000000000007</v>
      </c>
      <c r="H16" s="226">
        <v>0</v>
      </c>
      <c r="I16" s="226">
        <v>9.4</v>
      </c>
      <c r="J16" s="644">
        <v>0</v>
      </c>
      <c r="K16" s="226">
        <v>10.9</v>
      </c>
      <c r="L16" s="644">
        <v>-2.13E-4</v>
      </c>
      <c r="M16" s="226">
        <v>7.7</v>
      </c>
      <c r="N16" s="644">
        <v>0</v>
      </c>
      <c r="O16" s="206">
        <v>10.8</v>
      </c>
      <c r="P16" s="206">
        <v>0</v>
      </c>
      <c r="Q16" s="206">
        <v>3</v>
      </c>
      <c r="R16" s="206">
        <v>0</v>
      </c>
      <c r="S16" s="206">
        <v>12.3</v>
      </c>
      <c r="T16" s="645">
        <f t="shared" si="6"/>
        <v>-2.13E-4</v>
      </c>
      <c r="U16" s="206">
        <v>3.2</v>
      </c>
      <c r="V16" s="645">
        <f t="shared" si="7"/>
        <v>-2.5999999999999998E-5</v>
      </c>
      <c r="W16" s="206">
        <v>9.1</v>
      </c>
      <c r="X16" s="206">
        <v>0</v>
      </c>
      <c r="Y16" s="206">
        <v>2.8</v>
      </c>
      <c r="Z16" s="206">
        <v>0</v>
      </c>
      <c r="AA16" s="226">
        <v>9.3000000000000007</v>
      </c>
      <c r="AB16" s="645">
        <v>0</v>
      </c>
      <c r="AC16" s="226">
        <v>2.7</v>
      </c>
      <c r="AD16" s="644">
        <v>0</v>
      </c>
      <c r="AE16" s="226">
        <v>10.8</v>
      </c>
      <c r="AF16" s="645">
        <f t="shared" si="8"/>
        <v>-2.13E-4</v>
      </c>
      <c r="AG16" s="226">
        <v>2.9</v>
      </c>
      <c r="AH16" s="644">
        <f t="shared" si="9"/>
        <v>-2.5999999999999998E-5</v>
      </c>
      <c r="AI16" s="226">
        <v>7.6</v>
      </c>
      <c r="AJ16" s="645">
        <v>0</v>
      </c>
      <c r="AK16" s="226">
        <v>2.5</v>
      </c>
      <c r="AL16" s="644">
        <v>0</v>
      </c>
      <c r="AM16" s="49" t="s">
        <v>3</v>
      </c>
    </row>
    <row r="17" spans="1:39" x14ac:dyDescent="0.25">
      <c r="A17" s="937"/>
      <c r="B17" s="41">
        <v>2004</v>
      </c>
      <c r="C17" s="226">
        <v>11</v>
      </c>
      <c r="D17" s="226">
        <v>0</v>
      </c>
      <c r="E17" s="226">
        <v>12.5</v>
      </c>
      <c r="F17" s="644">
        <v>-2.13E-4</v>
      </c>
      <c r="G17" s="226">
        <v>9.3000000000000007</v>
      </c>
      <c r="H17" s="226">
        <v>0</v>
      </c>
      <c r="I17" s="226">
        <v>9.4</v>
      </c>
      <c r="J17" s="644">
        <v>0</v>
      </c>
      <c r="K17" s="226">
        <v>10.9</v>
      </c>
      <c r="L17" s="644">
        <v>-2.13E-4</v>
      </c>
      <c r="M17" s="226">
        <v>7.7</v>
      </c>
      <c r="N17" s="644">
        <v>0</v>
      </c>
      <c r="O17" s="206">
        <v>10.8</v>
      </c>
      <c r="P17" s="206">
        <v>0</v>
      </c>
      <c r="Q17" s="206">
        <v>3</v>
      </c>
      <c r="R17" s="206">
        <v>0</v>
      </c>
      <c r="S17" s="206">
        <v>12.3</v>
      </c>
      <c r="T17" s="645">
        <f t="shared" si="6"/>
        <v>-2.13E-4</v>
      </c>
      <c r="U17" s="206">
        <v>3.2</v>
      </c>
      <c r="V17" s="645">
        <f t="shared" si="7"/>
        <v>-2.5999999999999998E-5</v>
      </c>
      <c r="W17" s="206">
        <v>9.1</v>
      </c>
      <c r="X17" s="206">
        <v>0</v>
      </c>
      <c r="Y17" s="206">
        <v>2.8</v>
      </c>
      <c r="Z17" s="206">
        <v>0</v>
      </c>
      <c r="AA17" s="226">
        <v>9.3000000000000007</v>
      </c>
      <c r="AB17" s="645">
        <v>0</v>
      </c>
      <c r="AC17" s="226">
        <v>2.7</v>
      </c>
      <c r="AD17" s="644">
        <v>0</v>
      </c>
      <c r="AE17" s="226">
        <v>10.8</v>
      </c>
      <c r="AF17" s="645">
        <f t="shared" si="8"/>
        <v>-2.13E-4</v>
      </c>
      <c r="AG17" s="226">
        <v>2.9</v>
      </c>
      <c r="AH17" s="644">
        <f t="shared" si="9"/>
        <v>-2.5999999999999998E-5</v>
      </c>
      <c r="AI17" s="226">
        <v>7.6</v>
      </c>
      <c r="AJ17" s="645">
        <v>0</v>
      </c>
      <c r="AK17" s="226">
        <v>2.5</v>
      </c>
      <c r="AL17" s="644">
        <v>0</v>
      </c>
      <c r="AM17" s="49" t="s">
        <v>20</v>
      </c>
    </row>
    <row r="18" spans="1:39" x14ac:dyDescent="0.25">
      <c r="A18" s="937"/>
      <c r="B18" s="41">
        <v>2005</v>
      </c>
      <c r="C18" s="226">
        <v>11</v>
      </c>
      <c r="D18" s="226">
        <v>0</v>
      </c>
      <c r="E18" s="226">
        <v>12.5</v>
      </c>
      <c r="F18" s="644">
        <v>-2.13E-4</v>
      </c>
      <c r="G18" s="226">
        <v>9.3000000000000007</v>
      </c>
      <c r="H18" s="226">
        <v>0</v>
      </c>
      <c r="I18" s="226">
        <v>9.4</v>
      </c>
      <c r="J18" s="644">
        <v>0</v>
      </c>
      <c r="K18" s="226">
        <v>10.9</v>
      </c>
      <c r="L18" s="644">
        <v>-2.13E-4</v>
      </c>
      <c r="M18" s="226">
        <v>7.7</v>
      </c>
      <c r="N18" s="644">
        <v>0</v>
      </c>
      <c r="O18" s="206">
        <v>10.8</v>
      </c>
      <c r="P18" s="206">
        <v>0</v>
      </c>
      <c r="Q18" s="206">
        <v>3</v>
      </c>
      <c r="R18" s="206">
        <v>0</v>
      </c>
      <c r="S18" s="206">
        <v>12.3</v>
      </c>
      <c r="T18" s="645">
        <f t="shared" si="6"/>
        <v>-2.13E-4</v>
      </c>
      <c r="U18" s="206">
        <v>3.2</v>
      </c>
      <c r="V18" s="645">
        <f t="shared" si="7"/>
        <v>-2.5999999999999998E-5</v>
      </c>
      <c r="W18" s="206">
        <v>9.1</v>
      </c>
      <c r="X18" s="206">
        <v>0</v>
      </c>
      <c r="Y18" s="206">
        <v>2.8</v>
      </c>
      <c r="Z18" s="206">
        <v>0</v>
      </c>
      <c r="AA18" s="226">
        <v>9.3000000000000007</v>
      </c>
      <c r="AB18" s="645">
        <v>0</v>
      </c>
      <c r="AC18" s="226">
        <v>2.7</v>
      </c>
      <c r="AD18" s="644">
        <v>0</v>
      </c>
      <c r="AE18" s="226">
        <v>10.8</v>
      </c>
      <c r="AF18" s="645">
        <f t="shared" si="8"/>
        <v>-2.13E-4</v>
      </c>
      <c r="AG18" s="226">
        <v>2.9</v>
      </c>
      <c r="AH18" s="644">
        <f t="shared" si="9"/>
        <v>-2.5999999999999998E-5</v>
      </c>
      <c r="AI18" s="226">
        <v>7.6</v>
      </c>
      <c r="AJ18" s="645">
        <v>0</v>
      </c>
      <c r="AK18" s="226">
        <v>2.5</v>
      </c>
      <c r="AL18" s="644">
        <v>0</v>
      </c>
      <c r="AM18" s="49" t="s">
        <v>4</v>
      </c>
    </row>
    <row r="19" spans="1:39" x14ac:dyDescent="0.25">
      <c r="A19" s="937"/>
      <c r="B19" s="41">
        <v>2006</v>
      </c>
      <c r="C19" s="226">
        <v>11</v>
      </c>
      <c r="D19" s="226">
        <v>0</v>
      </c>
      <c r="E19" s="226">
        <v>12.5</v>
      </c>
      <c r="F19" s="644">
        <v>-2.13E-4</v>
      </c>
      <c r="G19" s="226">
        <v>9.3000000000000007</v>
      </c>
      <c r="H19" s="226">
        <v>0</v>
      </c>
      <c r="I19" s="226">
        <v>9.4</v>
      </c>
      <c r="J19" s="644">
        <v>0</v>
      </c>
      <c r="K19" s="226">
        <v>10.9</v>
      </c>
      <c r="L19" s="644">
        <v>-2.13E-4</v>
      </c>
      <c r="M19" s="226">
        <v>7.7</v>
      </c>
      <c r="N19" s="644">
        <v>0</v>
      </c>
      <c r="O19" s="206">
        <v>10.8</v>
      </c>
      <c r="P19" s="206">
        <v>0</v>
      </c>
      <c r="Q19" s="206">
        <v>3</v>
      </c>
      <c r="R19" s="206">
        <v>0</v>
      </c>
      <c r="S19" s="206">
        <v>12.3</v>
      </c>
      <c r="T19" s="645">
        <f t="shared" si="6"/>
        <v>-2.13E-4</v>
      </c>
      <c r="U19" s="206">
        <v>3.2</v>
      </c>
      <c r="V19" s="645">
        <f t="shared" si="7"/>
        <v>-2.5999999999999998E-5</v>
      </c>
      <c r="W19" s="206">
        <v>9.1</v>
      </c>
      <c r="X19" s="206">
        <v>0</v>
      </c>
      <c r="Y19" s="206">
        <v>2.8</v>
      </c>
      <c r="Z19" s="206">
        <v>0</v>
      </c>
      <c r="AA19" s="226">
        <v>9.3000000000000007</v>
      </c>
      <c r="AB19" s="645">
        <v>0</v>
      </c>
      <c r="AC19" s="226">
        <v>2.7</v>
      </c>
      <c r="AD19" s="644">
        <v>0</v>
      </c>
      <c r="AE19" s="226">
        <v>10.8</v>
      </c>
      <c r="AF19" s="645">
        <f t="shared" si="8"/>
        <v>-2.13E-4</v>
      </c>
      <c r="AG19" s="226">
        <v>2.9</v>
      </c>
      <c r="AH19" s="644">
        <f t="shared" si="9"/>
        <v>-2.5999999999999998E-5</v>
      </c>
      <c r="AI19" s="226">
        <v>7.6</v>
      </c>
      <c r="AJ19" s="645">
        <v>0</v>
      </c>
      <c r="AK19" s="226">
        <v>2.5</v>
      </c>
      <c r="AL19" s="644">
        <v>0</v>
      </c>
      <c r="AM19" s="49" t="s">
        <v>4</v>
      </c>
    </row>
    <row r="20" spans="1:39" x14ac:dyDescent="0.25">
      <c r="A20" s="937"/>
      <c r="B20" s="41">
        <v>2007</v>
      </c>
      <c r="C20" s="226">
        <v>11</v>
      </c>
      <c r="D20" s="226">
        <v>0</v>
      </c>
      <c r="E20" s="226">
        <v>12.5</v>
      </c>
      <c r="F20" s="644">
        <v>-2.13E-4</v>
      </c>
      <c r="G20" s="226">
        <v>9.3000000000000007</v>
      </c>
      <c r="H20" s="226">
        <v>0</v>
      </c>
      <c r="I20" s="226">
        <v>9.4</v>
      </c>
      <c r="J20" s="644">
        <v>0</v>
      </c>
      <c r="K20" s="226">
        <v>10.9</v>
      </c>
      <c r="L20" s="644">
        <v>-2.13E-4</v>
      </c>
      <c r="M20" s="226">
        <v>7.7</v>
      </c>
      <c r="N20" s="644">
        <v>0</v>
      </c>
      <c r="O20" s="206">
        <v>10.8</v>
      </c>
      <c r="P20" s="206">
        <v>0</v>
      </c>
      <c r="Q20" s="206">
        <v>3</v>
      </c>
      <c r="R20" s="206">
        <v>0</v>
      </c>
      <c r="S20" s="206">
        <v>12.3</v>
      </c>
      <c r="T20" s="645">
        <f t="shared" si="6"/>
        <v>-2.13E-4</v>
      </c>
      <c r="U20" s="206">
        <v>3.2</v>
      </c>
      <c r="V20" s="645">
        <f t="shared" si="7"/>
        <v>-2.5999999999999998E-5</v>
      </c>
      <c r="W20" s="206">
        <v>9.1</v>
      </c>
      <c r="X20" s="206">
        <v>0</v>
      </c>
      <c r="Y20" s="206">
        <v>2.8</v>
      </c>
      <c r="Z20" s="206">
        <v>0</v>
      </c>
      <c r="AA20" s="226">
        <v>9.3000000000000007</v>
      </c>
      <c r="AB20" s="645">
        <v>0</v>
      </c>
      <c r="AC20" s="226">
        <v>2.7</v>
      </c>
      <c r="AD20" s="644">
        <v>0</v>
      </c>
      <c r="AE20" s="226">
        <v>10.8</v>
      </c>
      <c r="AF20" s="645">
        <f t="shared" si="8"/>
        <v>-2.13E-4</v>
      </c>
      <c r="AG20" s="226">
        <v>2.9</v>
      </c>
      <c r="AH20" s="644">
        <f t="shared" si="9"/>
        <v>-2.5999999999999998E-5</v>
      </c>
      <c r="AI20" s="226">
        <v>7.6</v>
      </c>
      <c r="AJ20" s="645">
        <v>0</v>
      </c>
      <c r="AK20" s="226">
        <v>2.5</v>
      </c>
      <c r="AL20" s="644">
        <v>0</v>
      </c>
      <c r="AM20" s="49" t="s">
        <v>5</v>
      </c>
    </row>
    <row r="21" spans="1:39" x14ac:dyDescent="0.25">
      <c r="A21" s="937"/>
      <c r="B21" s="41">
        <v>2008</v>
      </c>
      <c r="C21" s="226">
        <v>11</v>
      </c>
      <c r="D21" s="226">
        <v>0</v>
      </c>
      <c r="E21" s="226">
        <v>12.5</v>
      </c>
      <c r="F21" s="644">
        <v>-2.13E-4</v>
      </c>
      <c r="G21" s="226">
        <v>9.3000000000000007</v>
      </c>
      <c r="H21" s="226">
        <v>0</v>
      </c>
      <c r="I21" s="226">
        <v>9.4</v>
      </c>
      <c r="J21" s="644">
        <v>0</v>
      </c>
      <c r="K21" s="226">
        <v>10.9</v>
      </c>
      <c r="L21" s="644">
        <v>-2.13E-4</v>
      </c>
      <c r="M21" s="226">
        <v>7.7</v>
      </c>
      <c r="N21" s="644">
        <v>0</v>
      </c>
      <c r="O21" s="206">
        <v>10.8</v>
      </c>
      <c r="P21" s="206">
        <v>0</v>
      </c>
      <c r="Q21" s="206">
        <v>3</v>
      </c>
      <c r="R21" s="206">
        <v>0</v>
      </c>
      <c r="S21" s="206">
        <v>12.3</v>
      </c>
      <c r="T21" s="645">
        <f t="shared" si="6"/>
        <v>-2.13E-4</v>
      </c>
      <c r="U21" s="206">
        <v>3.2</v>
      </c>
      <c r="V21" s="645">
        <f t="shared" si="7"/>
        <v>-2.5999999999999998E-5</v>
      </c>
      <c r="W21" s="206">
        <v>9.1</v>
      </c>
      <c r="X21" s="206">
        <v>0</v>
      </c>
      <c r="Y21" s="206">
        <v>2.8</v>
      </c>
      <c r="Z21" s="206">
        <v>0</v>
      </c>
      <c r="AA21" s="226">
        <v>9.3000000000000007</v>
      </c>
      <c r="AB21" s="645">
        <v>0</v>
      </c>
      <c r="AC21" s="226">
        <v>2.7</v>
      </c>
      <c r="AD21" s="644">
        <v>0</v>
      </c>
      <c r="AE21" s="226">
        <v>10.8</v>
      </c>
      <c r="AF21" s="645">
        <f t="shared" si="8"/>
        <v>-2.13E-4</v>
      </c>
      <c r="AG21" s="226">
        <v>2.9</v>
      </c>
      <c r="AH21" s="644">
        <f t="shared" si="9"/>
        <v>-2.5999999999999998E-5</v>
      </c>
      <c r="AI21" s="226">
        <v>7.6</v>
      </c>
      <c r="AJ21" s="645">
        <v>0</v>
      </c>
      <c r="AK21" s="226">
        <v>2.5</v>
      </c>
      <c r="AL21" s="644">
        <v>0</v>
      </c>
      <c r="AM21" s="49" t="s">
        <v>5</v>
      </c>
    </row>
    <row r="22" spans="1:39" x14ac:dyDescent="0.25">
      <c r="A22" s="937"/>
      <c r="B22" s="41">
        <v>2009</v>
      </c>
      <c r="C22" s="226">
        <v>11</v>
      </c>
      <c r="D22" s="226">
        <v>0</v>
      </c>
      <c r="E22" s="226">
        <v>12.5</v>
      </c>
      <c r="F22" s="644">
        <v>-2.13E-4</v>
      </c>
      <c r="G22" s="226">
        <v>9.3000000000000007</v>
      </c>
      <c r="H22" s="226">
        <v>0</v>
      </c>
      <c r="I22" s="226">
        <v>9.4</v>
      </c>
      <c r="J22" s="644">
        <v>0</v>
      </c>
      <c r="K22" s="226">
        <v>10.9</v>
      </c>
      <c r="L22" s="644">
        <v>-2.13E-4</v>
      </c>
      <c r="M22" s="226">
        <v>7.7</v>
      </c>
      <c r="N22" s="644">
        <v>0</v>
      </c>
      <c r="O22" s="206">
        <v>10.8</v>
      </c>
      <c r="P22" s="206">
        <v>0</v>
      </c>
      <c r="Q22" s="206">
        <v>3</v>
      </c>
      <c r="R22" s="206">
        <v>0</v>
      </c>
      <c r="S22" s="206">
        <v>12.3</v>
      </c>
      <c r="T22" s="645">
        <f t="shared" si="6"/>
        <v>-2.13E-4</v>
      </c>
      <c r="U22" s="206">
        <v>3.2</v>
      </c>
      <c r="V22" s="645">
        <f t="shared" si="7"/>
        <v>-2.5999999999999998E-5</v>
      </c>
      <c r="W22" s="206">
        <v>9.1</v>
      </c>
      <c r="X22" s="206">
        <v>0</v>
      </c>
      <c r="Y22" s="206">
        <v>2.8</v>
      </c>
      <c r="Z22" s="206">
        <v>0</v>
      </c>
      <c r="AA22" s="226">
        <v>9.3000000000000007</v>
      </c>
      <c r="AB22" s="645">
        <v>0</v>
      </c>
      <c r="AC22" s="226">
        <v>2.7</v>
      </c>
      <c r="AD22" s="644">
        <v>0</v>
      </c>
      <c r="AE22" s="226">
        <v>10.8</v>
      </c>
      <c r="AF22" s="645">
        <f t="shared" si="8"/>
        <v>-2.13E-4</v>
      </c>
      <c r="AG22" s="226">
        <v>2.9</v>
      </c>
      <c r="AH22" s="644">
        <f t="shared" si="9"/>
        <v>-2.5999999999999998E-5</v>
      </c>
      <c r="AI22" s="226">
        <v>7.6</v>
      </c>
      <c r="AJ22" s="645">
        <v>0</v>
      </c>
      <c r="AK22" s="226">
        <v>2.5</v>
      </c>
      <c r="AL22" s="644">
        <v>0</v>
      </c>
      <c r="AM22" s="49" t="s">
        <v>19</v>
      </c>
    </row>
    <row r="23" spans="1:39" x14ac:dyDescent="0.25">
      <c r="A23" s="937"/>
      <c r="B23" s="41">
        <v>2010</v>
      </c>
      <c r="C23" s="226">
        <v>11</v>
      </c>
      <c r="D23" s="226">
        <v>0</v>
      </c>
      <c r="E23" s="226">
        <v>12.5</v>
      </c>
      <c r="F23" s="644">
        <v>-2.13E-4</v>
      </c>
      <c r="G23" s="226">
        <v>9.3000000000000007</v>
      </c>
      <c r="H23" s="226">
        <v>0</v>
      </c>
      <c r="I23" s="226">
        <v>9.4</v>
      </c>
      <c r="J23" s="644">
        <v>0</v>
      </c>
      <c r="K23" s="226">
        <v>10.9</v>
      </c>
      <c r="L23" s="644">
        <v>-2.13E-4</v>
      </c>
      <c r="M23" s="226">
        <v>7.7</v>
      </c>
      <c r="N23" s="644">
        <v>0</v>
      </c>
      <c r="O23" s="206">
        <v>10.8</v>
      </c>
      <c r="P23" s="206">
        <v>0</v>
      </c>
      <c r="Q23" s="206">
        <v>3</v>
      </c>
      <c r="R23" s="206">
        <v>0</v>
      </c>
      <c r="S23" s="206">
        <v>12.3</v>
      </c>
      <c r="T23" s="645">
        <f t="shared" si="6"/>
        <v>-2.13E-4</v>
      </c>
      <c r="U23" s="206">
        <v>3.2</v>
      </c>
      <c r="V23" s="645">
        <f t="shared" si="7"/>
        <v>-2.5999999999999998E-5</v>
      </c>
      <c r="W23" s="206">
        <v>9.1</v>
      </c>
      <c r="X23" s="206">
        <v>0</v>
      </c>
      <c r="Y23" s="206">
        <v>2.8</v>
      </c>
      <c r="Z23" s="206">
        <v>0</v>
      </c>
      <c r="AA23" s="226">
        <v>9.3000000000000007</v>
      </c>
      <c r="AB23" s="645">
        <v>0</v>
      </c>
      <c r="AC23" s="226">
        <v>2.7</v>
      </c>
      <c r="AD23" s="644">
        <v>0</v>
      </c>
      <c r="AE23" s="226">
        <v>10.8</v>
      </c>
      <c r="AF23" s="645">
        <f t="shared" si="8"/>
        <v>-2.13E-4</v>
      </c>
      <c r="AG23" s="226">
        <v>2.9</v>
      </c>
      <c r="AH23" s="644">
        <f t="shared" si="9"/>
        <v>-2.5999999999999998E-5</v>
      </c>
      <c r="AI23" s="226">
        <v>7.6</v>
      </c>
      <c r="AJ23" s="645">
        <v>0</v>
      </c>
      <c r="AK23" s="226">
        <v>2.5</v>
      </c>
      <c r="AL23" s="644">
        <v>0</v>
      </c>
      <c r="AM23" s="49" t="s">
        <v>18</v>
      </c>
    </row>
    <row r="24" spans="1:39" x14ac:dyDescent="0.25">
      <c r="A24" s="937"/>
      <c r="B24" s="41">
        <v>2011</v>
      </c>
      <c r="C24" s="226">
        <v>11</v>
      </c>
      <c r="D24" s="226">
        <v>0</v>
      </c>
      <c r="E24" s="226">
        <v>12.5</v>
      </c>
      <c r="F24" s="644">
        <v>-2.13E-4</v>
      </c>
      <c r="G24" s="226">
        <v>9.3000000000000007</v>
      </c>
      <c r="H24" s="226">
        <v>0</v>
      </c>
      <c r="I24" s="226">
        <v>9.4</v>
      </c>
      <c r="J24" s="644">
        <v>0</v>
      </c>
      <c r="K24" s="226">
        <v>10.9</v>
      </c>
      <c r="L24" s="644">
        <v>-2.13E-4</v>
      </c>
      <c r="M24" s="226">
        <v>7.7</v>
      </c>
      <c r="N24" s="644">
        <v>0</v>
      </c>
      <c r="O24" s="206">
        <v>10.8</v>
      </c>
      <c r="P24" s="206">
        <v>0</v>
      </c>
      <c r="Q24" s="206">
        <v>3</v>
      </c>
      <c r="R24" s="206">
        <v>0</v>
      </c>
      <c r="S24" s="206">
        <v>12.3</v>
      </c>
      <c r="T24" s="645">
        <f t="shared" si="6"/>
        <v>-2.13E-4</v>
      </c>
      <c r="U24" s="206">
        <v>3.2</v>
      </c>
      <c r="V24" s="645">
        <f t="shared" si="7"/>
        <v>-2.5999999999999998E-5</v>
      </c>
      <c r="W24" s="206">
        <v>9.1</v>
      </c>
      <c r="X24" s="206">
        <v>0</v>
      </c>
      <c r="Y24" s="206">
        <v>2.8</v>
      </c>
      <c r="Z24" s="206">
        <v>0</v>
      </c>
      <c r="AA24" s="226">
        <v>9.3000000000000007</v>
      </c>
      <c r="AB24" s="645">
        <v>0</v>
      </c>
      <c r="AC24" s="226">
        <v>2.7</v>
      </c>
      <c r="AD24" s="644">
        <v>0</v>
      </c>
      <c r="AE24" s="226">
        <v>10.8</v>
      </c>
      <c r="AF24" s="645">
        <f t="shared" si="8"/>
        <v>-2.13E-4</v>
      </c>
      <c r="AG24" s="226">
        <v>2.9</v>
      </c>
      <c r="AH24" s="644">
        <f t="shared" si="9"/>
        <v>-2.5999999999999998E-5</v>
      </c>
      <c r="AI24" s="226">
        <v>7.6</v>
      </c>
      <c r="AJ24" s="645">
        <v>0</v>
      </c>
      <c r="AK24" s="226">
        <v>2.5</v>
      </c>
      <c r="AL24" s="644">
        <v>0</v>
      </c>
      <c r="AM24" s="49" t="s">
        <v>18</v>
      </c>
    </row>
    <row r="25" spans="1:39" x14ac:dyDescent="0.25">
      <c r="A25" s="937"/>
      <c r="B25" s="41">
        <v>2012</v>
      </c>
      <c r="C25" s="226">
        <v>11</v>
      </c>
      <c r="D25" s="226">
        <v>0</v>
      </c>
      <c r="E25" s="226">
        <v>12.5</v>
      </c>
      <c r="F25" s="644">
        <v>-2.13E-4</v>
      </c>
      <c r="G25" s="226">
        <v>9.3000000000000007</v>
      </c>
      <c r="H25" s="226">
        <v>0</v>
      </c>
      <c r="I25" s="226">
        <v>9.4</v>
      </c>
      <c r="J25" s="644">
        <v>0</v>
      </c>
      <c r="K25" s="226">
        <v>10.9</v>
      </c>
      <c r="L25" s="644">
        <v>-2.13E-4</v>
      </c>
      <c r="M25" s="226">
        <v>7.7</v>
      </c>
      <c r="N25" s="644">
        <v>0</v>
      </c>
      <c r="O25" s="206">
        <v>10.8</v>
      </c>
      <c r="P25" s="206">
        <v>0</v>
      </c>
      <c r="Q25" s="206">
        <v>3</v>
      </c>
      <c r="R25" s="206">
        <v>0</v>
      </c>
      <c r="S25" s="206">
        <v>12.3</v>
      </c>
      <c r="T25" s="645">
        <f t="shared" si="6"/>
        <v>-2.13E-4</v>
      </c>
      <c r="U25" s="206">
        <v>3.2</v>
      </c>
      <c r="V25" s="645">
        <f t="shared" si="7"/>
        <v>-2.5999999999999998E-5</v>
      </c>
      <c r="W25" s="206">
        <v>9.1</v>
      </c>
      <c r="X25" s="206">
        <v>0</v>
      </c>
      <c r="Y25" s="206">
        <v>2.8</v>
      </c>
      <c r="Z25" s="206">
        <v>0</v>
      </c>
      <c r="AA25" s="226">
        <v>9.3000000000000007</v>
      </c>
      <c r="AB25" s="645">
        <v>0</v>
      </c>
      <c r="AC25" s="226">
        <v>2.7</v>
      </c>
      <c r="AD25" s="644">
        <v>0</v>
      </c>
      <c r="AE25" s="226">
        <v>10.8</v>
      </c>
      <c r="AF25" s="645">
        <f t="shared" si="8"/>
        <v>-2.13E-4</v>
      </c>
      <c r="AG25" s="226">
        <v>2.9</v>
      </c>
      <c r="AH25" s="644">
        <f t="shared" si="9"/>
        <v>-2.5999999999999998E-5</v>
      </c>
      <c r="AI25" s="226">
        <v>7.6</v>
      </c>
      <c r="AJ25" s="645">
        <v>0</v>
      </c>
      <c r="AK25" s="226">
        <v>2.5</v>
      </c>
      <c r="AL25" s="644">
        <v>0</v>
      </c>
      <c r="AM25" s="49" t="s">
        <v>17</v>
      </c>
    </row>
    <row r="26" spans="1:39" x14ac:dyDescent="0.25">
      <c r="A26" s="937"/>
      <c r="B26" s="41">
        <v>2013</v>
      </c>
      <c r="C26" s="226">
        <v>11</v>
      </c>
      <c r="D26" s="226">
        <v>0</v>
      </c>
      <c r="E26" s="226">
        <v>12.5</v>
      </c>
      <c r="F26" s="644">
        <v>-2.13E-4</v>
      </c>
      <c r="G26" s="226">
        <v>9.3000000000000007</v>
      </c>
      <c r="H26" s="226">
        <v>0</v>
      </c>
      <c r="I26" s="226">
        <v>9.4</v>
      </c>
      <c r="J26" s="644">
        <v>0</v>
      </c>
      <c r="K26" s="226">
        <v>10.9</v>
      </c>
      <c r="L26" s="644">
        <v>-2.13E-4</v>
      </c>
      <c r="M26" s="226">
        <v>7.7</v>
      </c>
      <c r="N26" s="644">
        <v>0</v>
      </c>
      <c r="O26" s="206">
        <v>10.8</v>
      </c>
      <c r="P26" s="206">
        <v>0</v>
      </c>
      <c r="Q26" s="206">
        <v>3</v>
      </c>
      <c r="R26" s="206">
        <v>0</v>
      </c>
      <c r="S26" s="206">
        <v>12.3</v>
      </c>
      <c r="T26" s="645">
        <f t="shared" si="6"/>
        <v>-2.13E-4</v>
      </c>
      <c r="U26" s="206">
        <v>3.2</v>
      </c>
      <c r="V26" s="645">
        <f t="shared" si="7"/>
        <v>-2.5999999999999998E-5</v>
      </c>
      <c r="W26" s="206">
        <v>9.1</v>
      </c>
      <c r="X26" s="206">
        <v>0</v>
      </c>
      <c r="Y26" s="206">
        <v>2.8</v>
      </c>
      <c r="Z26" s="206">
        <v>0</v>
      </c>
      <c r="AA26" s="226">
        <v>9.3000000000000007</v>
      </c>
      <c r="AB26" s="645">
        <v>0</v>
      </c>
      <c r="AC26" s="226">
        <v>2.7</v>
      </c>
      <c r="AD26" s="644">
        <v>0</v>
      </c>
      <c r="AE26" s="226">
        <v>10.8</v>
      </c>
      <c r="AF26" s="645">
        <f t="shared" si="8"/>
        <v>-2.13E-4</v>
      </c>
      <c r="AG26" s="226">
        <v>2.9</v>
      </c>
      <c r="AH26" s="644">
        <f t="shared" si="9"/>
        <v>-2.5999999999999998E-5</v>
      </c>
      <c r="AI26" s="226">
        <v>7.6</v>
      </c>
      <c r="AJ26" s="645">
        <v>0</v>
      </c>
      <c r="AK26" s="226">
        <v>2.5</v>
      </c>
      <c r="AL26" s="644">
        <v>0</v>
      </c>
      <c r="AM26" s="49" t="s">
        <v>16</v>
      </c>
    </row>
    <row r="27" spans="1:39" x14ac:dyDescent="0.25">
      <c r="A27" s="937"/>
      <c r="B27" s="41">
        <v>2014</v>
      </c>
      <c r="C27" s="51">
        <v>11.9</v>
      </c>
      <c r="D27" s="226">
        <v>0</v>
      </c>
      <c r="E27" s="51">
        <v>14</v>
      </c>
      <c r="F27" s="644">
        <v>-2.9999999999999997E-4</v>
      </c>
      <c r="G27" s="51">
        <v>9.5</v>
      </c>
      <c r="H27" s="226">
        <v>0</v>
      </c>
      <c r="I27" s="226">
        <v>9.4</v>
      </c>
      <c r="J27" s="644">
        <v>0</v>
      </c>
      <c r="K27" s="226">
        <v>10.9</v>
      </c>
      <c r="L27" s="644">
        <v>-2.13E-4</v>
      </c>
      <c r="M27" s="226">
        <v>7.7</v>
      </c>
      <c r="N27" s="644">
        <v>0</v>
      </c>
      <c r="O27" s="226">
        <v>11.9</v>
      </c>
      <c r="P27" s="645">
        <v>0</v>
      </c>
      <c r="Q27" s="206">
        <v>3.3</v>
      </c>
      <c r="R27" s="663">
        <v>0</v>
      </c>
      <c r="S27" s="226">
        <v>14</v>
      </c>
      <c r="T27" s="645">
        <f t="shared" ref="T27:T38" si="10">-0.3/1000</f>
        <v>-2.9999999999999997E-4</v>
      </c>
      <c r="U27" s="226">
        <v>3.7</v>
      </c>
      <c r="V27" s="645">
        <f t="shared" ref="V27:V38" si="11">-0.052/1000</f>
        <v>-5.1999999999999997E-5</v>
      </c>
      <c r="W27" s="226">
        <v>9.5</v>
      </c>
      <c r="X27" s="644">
        <v>0</v>
      </c>
      <c r="Y27" s="226">
        <v>2.9</v>
      </c>
      <c r="Z27" s="644">
        <v>0</v>
      </c>
      <c r="AA27" s="226">
        <v>9.3000000000000007</v>
      </c>
      <c r="AB27" s="645">
        <v>0</v>
      </c>
      <c r="AC27" s="226">
        <v>2.7</v>
      </c>
      <c r="AD27" s="644">
        <v>0</v>
      </c>
      <c r="AE27" s="226">
        <v>10.8</v>
      </c>
      <c r="AF27" s="645">
        <f t="shared" si="8"/>
        <v>-2.13E-4</v>
      </c>
      <c r="AG27" s="226">
        <v>2.9</v>
      </c>
      <c r="AH27" s="644">
        <f t="shared" si="9"/>
        <v>-2.5999999999999998E-5</v>
      </c>
      <c r="AI27" s="226">
        <v>7.6</v>
      </c>
      <c r="AJ27" s="645">
        <v>0</v>
      </c>
      <c r="AK27" s="226">
        <v>2.5</v>
      </c>
      <c r="AL27" s="644">
        <v>0</v>
      </c>
      <c r="AM27" s="49" t="s">
        <v>16</v>
      </c>
    </row>
    <row r="28" spans="1:39" x14ac:dyDescent="0.25">
      <c r="A28" s="937"/>
      <c r="B28" s="41">
        <v>2015</v>
      </c>
      <c r="C28" s="51">
        <v>11.9</v>
      </c>
      <c r="D28" s="644">
        <v>0</v>
      </c>
      <c r="E28" s="51">
        <v>14</v>
      </c>
      <c r="F28" s="644">
        <v>-2.9999999999999997E-4</v>
      </c>
      <c r="G28" s="51">
        <v>9.5</v>
      </c>
      <c r="H28" s="226">
        <v>0</v>
      </c>
      <c r="I28" s="226">
        <v>9.4</v>
      </c>
      <c r="J28" s="644">
        <v>0</v>
      </c>
      <c r="K28" s="226">
        <v>10.9</v>
      </c>
      <c r="L28" s="644">
        <v>-2.13E-4</v>
      </c>
      <c r="M28" s="226">
        <v>7.7</v>
      </c>
      <c r="N28" s="644">
        <v>0</v>
      </c>
      <c r="O28" s="226">
        <v>11.9</v>
      </c>
      <c r="P28" s="645">
        <v>0</v>
      </c>
      <c r="Q28" s="206">
        <v>3.3</v>
      </c>
      <c r="R28" s="663">
        <v>0</v>
      </c>
      <c r="S28" s="226">
        <v>14</v>
      </c>
      <c r="T28" s="645">
        <f t="shared" si="10"/>
        <v>-2.9999999999999997E-4</v>
      </c>
      <c r="U28" s="226">
        <v>3.7</v>
      </c>
      <c r="V28" s="645">
        <f t="shared" si="11"/>
        <v>-5.1999999999999997E-5</v>
      </c>
      <c r="W28" s="226">
        <v>9.5</v>
      </c>
      <c r="X28" s="644">
        <v>0</v>
      </c>
      <c r="Y28" s="226">
        <v>2.9</v>
      </c>
      <c r="Z28" s="644">
        <v>0</v>
      </c>
      <c r="AA28" s="226">
        <v>9.3000000000000007</v>
      </c>
      <c r="AB28" s="645">
        <v>0</v>
      </c>
      <c r="AC28" s="226">
        <v>2.7</v>
      </c>
      <c r="AD28" s="644">
        <v>0</v>
      </c>
      <c r="AE28" s="226">
        <v>10.8</v>
      </c>
      <c r="AF28" s="645">
        <f t="shared" si="8"/>
        <v>-2.13E-4</v>
      </c>
      <c r="AG28" s="226">
        <v>2.9</v>
      </c>
      <c r="AH28" s="644">
        <f t="shared" si="9"/>
        <v>-2.5999999999999998E-5</v>
      </c>
      <c r="AI28" s="226">
        <v>7.6</v>
      </c>
      <c r="AJ28" s="645">
        <v>0</v>
      </c>
      <c r="AK28" s="226">
        <v>2.5</v>
      </c>
      <c r="AL28" s="644">
        <v>0</v>
      </c>
      <c r="AM28" s="49"/>
    </row>
    <row r="29" spans="1:39" x14ac:dyDescent="0.25">
      <c r="A29" s="937"/>
      <c r="B29" s="41">
        <v>2016</v>
      </c>
      <c r="C29" s="51">
        <v>11.9</v>
      </c>
      <c r="D29" s="644">
        <v>0</v>
      </c>
      <c r="E29" s="51">
        <v>14</v>
      </c>
      <c r="F29" s="644">
        <v>-2.9999999999999997E-4</v>
      </c>
      <c r="G29" s="51">
        <v>9.5</v>
      </c>
      <c r="H29" s="226">
        <v>0</v>
      </c>
      <c r="I29" s="226">
        <v>9.4</v>
      </c>
      <c r="J29" s="644">
        <v>0</v>
      </c>
      <c r="K29" s="226">
        <v>10.9</v>
      </c>
      <c r="L29" s="644">
        <v>-2.13E-4</v>
      </c>
      <c r="M29" s="226">
        <v>7.7</v>
      </c>
      <c r="N29" s="644">
        <v>0</v>
      </c>
      <c r="O29" s="226">
        <v>11.9</v>
      </c>
      <c r="P29" s="645">
        <v>0</v>
      </c>
      <c r="Q29" s="206">
        <v>3.3</v>
      </c>
      <c r="R29" s="663">
        <v>0</v>
      </c>
      <c r="S29" s="226">
        <v>14</v>
      </c>
      <c r="T29" s="645">
        <f t="shared" si="10"/>
        <v>-2.9999999999999997E-4</v>
      </c>
      <c r="U29" s="226">
        <v>3.7</v>
      </c>
      <c r="V29" s="645">
        <f t="shared" si="11"/>
        <v>-5.1999999999999997E-5</v>
      </c>
      <c r="W29" s="226">
        <v>9.5</v>
      </c>
      <c r="X29" s="644">
        <v>0</v>
      </c>
      <c r="Y29" s="226">
        <v>2.9</v>
      </c>
      <c r="Z29" s="644">
        <v>0</v>
      </c>
      <c r="AA29" s="226">
        <v>9.3000000000000007</v>
      </c>
      <c r="AB29" s="645">
        <v>0</v>
      </c>
      <c r="AC29" s="226">
        <v>2.7</v>
      </c>
      <c r="AD29" s="644">
        <v>0</v>
      </c>
      <c r="AE29" s="226">
        <v>10.8</v>
      </c>
      <c r="AF29" s="645">
        <f t="shared" si="8"/>
        <v>-2.13E-4</v>
      </c>
      <c r="AG29" s="226">
        <v>2.9</v>
      </c>
      <c r="AH29" s="644">
        <f t="shared" si="9"/>
        <v>-2.5999999999999998E-5</v>
      </c>
      <c r="AI29" s="226">
        <v>7.6</v>
      </c>
      <c r="AJ29" s="645">
        <v>0</v>
      </c>
      <c r="AK29" s="226">
        <v>2.5</v>
      </c>
      <c r="AL29" s="644">
        <v>0</v>
      </c>
      <c r="AM29" s="49"/>
    </row>
    <row r="30" spans="1:39" x14ac:dyDescent="0.25">
      <c r="A30" s="937"/>
      <c r="B30" s="41">
        <v>2017</v>
      </c>
      <c r="C30" s="51">
        <v>11.9</v>
      </c>
      <c r="D30" s="644">
        <v>0</v>
      </c>
      <c r="E30" s="51">
        <v>14</v>
      </c>
      <c r="F30" s="644">
        <v>-2.9999999999999997E-4</v>
      </c>
      <c r="G30" s="51">
        <v>9.5</v>
      </c>
      <c r="H30" s="226">
        <v>0</v>
      </c>
      <c r="I30" s="226">
        <v>9.4</v>
      </c>
      <c r="J30" s="644">
        <v>0</v>
      </c>
      <c r="K30" s="226">
        <v>10.9</v>
      </c>
      <c r="L30" s="644">
        <v>-2.13E-4</v>
      </c>
      <c r="M30" s="226">
        <v>7.7</v>
      </c>
      <c r="N30" s="644">
        <v>0</v>
      </c>
      <c r="O30" s="226">
        <v>11.9</v>
      </c>
      <c r="P30" s="645">
        <v>0</v>
      </c>
      <c r="Q30" s="206">
        <v>3.3</v>
      </c>
      <c r="R30" s="663">
        <v>0</v>
      </c>
      <c r="S30" s="226">
        <v>14</v>
      </c>
      <c r="T30" s="645">
        <f t="shared" si="10"/>
        <v>-2.9999999999999997E-4</v>
      </c>
      <c r="U30" s="226">
        <v>3.7</v>
      </c>
      <c r="V30" s="645">
        <f t="shared" si="11"/>
        <v>-5.1999999999999997E-5</v>
      </c>
      <c r="W30" s="226">
        <v>9.5</v>
      </c>
      <c r="X30" s="644">
        <v>0</v>
      </c>
      <c r="Y30" s="226">
        <v>2.9</v>
      </c>
      <c r="Z30" s="644">
        <v>0</v>
      </c>
      <c r="AA30" s="226">
        <v>9.3000000000000007</v>
      </c>
      <c r="AB30" s="645">
        <v>0</v>
      </c>
      <c r="AC30" s="226">
        <v>2.7</v>
      </c>
      <c r="AD30" s="644">
        <v>0</v>
      </c>
      <c r="AE30" s="226">
        <v>10.8</v>
      </c>
      <c r="AF30" s="645">
        <f t="shared" si="8"/>
        <v>-2.13E-4</v>
      </c>
      <c r="AG30" s="226">
        <v>2.9</v>
      </c>
      <c r="AH30" s="644">
        <f t="shared" si="9"/>
        <v>-2.5999999999999998E-5</v>
      </c>
      <c r="AI30" s="226">
        <v>7.6</v>
      </c>
      <c r="AJ30" s="645">
        <v>0</v>
      </c>
      <c r="AK30" s="226">
        <v>2.5</v>
      </c>
      <c r="AL30" s="644">
        <v>0</v>
      </c>
      <c r="AM30" s="49"/>
    </row>
    <row r="31" spans="1:39" x14ac:dyDescent="0.25">
      <c r="A31" s="937"/>
      <c r="B31" s="41">
        <v>2018</v>
      </c>
      <c r="C31" s="51">
        <v>11.9</v>
      </c>
      <c r="D31" s="644">
        <v>0</v>
      </c>
      <c r="E31" s="51">
        <v>14</v>
      </c>
      <c r="F31" s="644">
        <v>-2.9999999999999997E-4</v>
      </c>
      <c r="G31" s="51">
        <v>9.5</v>
      </c>
      <c r="H31" s="226">
        <v>0</v>
      </c>
      <c r="I31" s="226">
        <v>9.4</v>
      </c>
      <c r="J31" s="644">
        <v>0</v>
      </c>
      <c r="K31" s="226">
        <v>10.9</v>
      </c>
      <c r="L31" s="644">
        <v>-2.13E-4</v>
      </c>
      <c r="M31" s="226">
        <v>7.7</v>
      </c>
      <c r="N31" s="644">
        <v>0</v>
      </c>
      <c r="O31" s="226">
        <v>11.9</v>
      </c>
      <c r="P31" s="645">
        <v>0</v>
      </c>
      <c r="Q31" s="206">
        <v>3.3</v>
      </c>
      <c r="R31" s="663">
        <v>0</v>
      </c>
      <c r="S31" s="226">
        <v>14</v>
      </c>
      <c r="T31" s="645">
        <f t="shared" si="10"/>
        <v>-2.9999999999999997E-4</v>
      </c>
      <c r="U31" s="226">
        <v>3.7</v>
      </c>
      <c r="V31" s="645">
        <f t="shared" si="11"/>
        <v>-5.1999999999999997E-5</v>
      </c>
      <c r="W31" s="226">
        <v>9.5</v>
      </c>
      <c r="X31" s="644">
        <v>0</v>
      </c>
      <c r="Y31" s="226">
        <v>2.9</v>
      </c>
      <c r="Z31" s="644">
        <v>0</v>
      </c>
      <c r="AA31" s="226">
        <v>9.3000000000000007</v>
      </c>
      <c r="AB31" s="645">
        <v>0</v>
      </c>
      <c r="AC31" s="226">
        <v>2.7</v>
      </c>
      <c r="AD31" s="644">
        <v>0</v>
      </c>
      <c r="AE31" s="226">
        <v>10.8</v>
      </c>
      <c r="AF31" s="645">
        <f t="shared" si="8"/>
        <v>-2.13E-4</v>
      </c>
      <c r="AG31" s="226">
        <v>2.9</v>
      </c>
      <c r="AH31" s="644">
        <f t="shared" si="9"/>
        <v>-2.5999999999999998E-5</v>
      </c>
      <c r="AI31" s="226">
        <v>7.6</v>
      </c>
      <c r="AJ31" s="645">
        <v>0</v>
      </c>
      <c r="AK31" s="226">
        <v>2.5</v>
      </c>
      <c r="AL31" s="644">
        <v>0</v>
      </c>
      <c r="AM31" s="49"/>
    </row>
    <row r="32" spans="1:39" x14ac:dyDescent="0.25">
      <c r="A32" s="937"/>
      <c r="B32" s="41">
        <v>2019</v>
      </c>
      <c r="C32" s="51">
        <v>11.9</v>
      </c>
      <c r="D32" s="644">
        <v>0</v>
      </c>
      <c r="E32" s="51">
        <v>14</v>
      </c>
      <c r="F32" s="644">
        <v>-2.9999999999999997E-4</v>
      </c>
      <c r="G32" s="51">
        <v>9.5</v>
      </c>
      <c r="H32" s="226">
        <v>0</v>
      </c>
      <c r="I32" s="226">
        <v>9.4</v>
      </c>
      <c r="J32" s="644">
        <v>0</v>
      </c>
      <c r="K32" s="226">
        <v>10.9</v>
      </c>
      <c r="L32" s="644">
        <v>-2.13E-4</v>
      </c>
      <c r="M32" s="226">
        <v>7.7</v>
      </c>
      <c r="N32" s="644">
        <v>0</v>
      </c>
      <c r="O32" s="226">
        <v>11.9</v>
      </c>
      <c r="P32" s="645">
        <v>0</v>
      </c>
      <c r="Q32" s="206">
        <v>3.3</v>
      </c>
      <c r="R32" s="663">
        <v>0</v>
      </c>
      <c r="S32" s="226">
        <v>14</v>
      </c>
      <c r="T32" s="645">
        <f t="shared" si="10"/>
        <v>-2.9999999999999997E-4</v>
      </c>
      <c r="U32" s="226">
        <v>3.7</v>
      </c>
      <c r="V32" s="645">
        <f t="shared" si="11"/>
        <v>-5.1999999999999997E-5</v>
      </c>
      <c r="W32" s="226">
        <v>9.5</v>
      </c>
      <c r="X32" s="644">
        <v>0</v>
      </c>
      <c r="Y32" s="226">
        <v>2.9</v>
      </c>
      <c r="Z32" s="644">
        <v>0</v>
      </c>
      <c r="AA32" s="226">
        <v>9.3000000000000007</v>
      </c>
      <c r="AB32" s="645">
        <v>0</v>
      </c>
      <c r="AC32" s="226">
        <v>2.7</v>
      </c>
      <c r="AD32" s="644">
        <v>0</v>
      </c>
      <c r="AE32" s="226">
        <v>10.8</v>
      </c>
      <c r="AF32" s="645">
        <f t="shared" si="8"/>
        <v>-2.13E-4</v>
      </c>
      <c r="AG32" s="226">
        <v>2.9</v>
      </c>
      <c r="AH32" s="644">
        <f t="shared" si="9"/>
        <v>-2.5999999999999998E-5</v>
      </c>
      <c r="AI32" s="226">
        <v>7.6</v>
      </c>
      <c r="AJ32" s="645">
        <v>0</v>
      </c>
      <c r="AK32" s="226">
        <v>2.5</v>
      </c>
      <c r="AL32" s="644">
        <v>0</v>
      </c>
      <c r="AM32" s="49"/>
    </row>
    <row r="33" spans="1:39" x14ac:dyDescent="0.25">
      <c r="A33" s="937"/>
      <c r="B33" s="41">
        <v>2020</v>
      </c>
      <c r="C33" s="51">
        <v>11.9</v>
      </c>
      <c r="D33" s="644">
        <v>0</v>
      </c>
      <c r="E33" s="51">
        <v>14</v>
      </c>
      <c r="F33" s="644">
        <v>-2.9999999999999997E-4</v>
      </c>
      <c r="G33" s="51">
        <v>9.5</v>
      </c>
      <c r="H33" s="226">
        <v>0</v>
      </c>
      <c r="I33" s="226">
        <v>9.4</v>
      </c>
      <c r="J33" s="644">
        <v>0</v>
      </c>
      <c r="K33" s="226">
        <v>10.9</v>
      </c>
      <c r="L33" s="644">
        <v>-2.13E-4</v>
      </c>
      <c r="M33" s="226">
        <v>7.7</v>
      </c>
      <c r="N33" s="644">
        <v>0</v>
      </c>
      <c r="O33" s="226">
        <v>11.9</v>
      </c>
      <c r="P33" s="645">
        <v>0</v>
      </c>
      <c r="Q33" s="206">
        <v>3.3</v>
      </c>
      <c r="R33" s="663">
        <v>0</v>
      </c>
      <c r="S33" s="226">
        <v>14</v>
      </c>
      <c r="T33" s="645">
        <f t="shared" si="10"/>
        <v>-2.9999999999999997E-4</v>
      </c>
      <c r="U33" s="226">
        <v>3.7</v>
      </c>
      <c r="V33" s="645">
        <f t="shared" si="11"/>
        <v>-5.1999999999999997E-5</v>
      </c>
      <c r="W33" s="226">
        <v>9.5</v>
      </c>
      <c r="X33" s="644">
        <v>0</v>
      </c>
      <c r="Y33" s="226">
        <v>2.9</v>
      </c>
      <c r="Z33" s="644">
        <v>0</v>
      </c>
      <c r="AA33" s="226">
        <v>9.3000000000000007</v>
      </c>
      <c r="AB33" s="645">
        <v>0</v>
      </c>
      <c r="AC33" s="226">
        <v>2.7</v>
      </c>
      <c r="AD33" s="644">
        <v>0</v>
      </c>
      <c r="AE33" s="226">
        <v>10.8</v>
      </c>
      <c r="AF33" s="645">
        <f t="shared" si="8"/>
        <v>-2.13E-4</v>
      </c>
      <c r="AG33" s="226">
        <v>2.9</v>
      </c>
      <c r="AH33" s="644">
        <f t="shared" si="9"/>
        <v>-2.5999999999999998E-5</v>
      </c>
      <c r="AI33" s="226">
        <v>7.6</v>
      </c>
      <c r="AJ33" s="645">
        <v>0</v>
      </c>
      <c r="AK33" s="226">
        <v>2.5</v>
      </c>
      <c r="AL33" s="644">
        <v>0</v>
      </c>
      <c r="AM33" s="49"/>
    </row>
    <row r="34" spans="1:39" x14ac:dyDescent="0.25">
      <c r="A34" s="937"/>
      <c r="B34" s="41">
        <v>2021</v>
      </c>
      <c r="C34" s="51">
        <v>11.9</v>
      </c>
      <c r="D34" s="644">
        <v>0</v>
      </c>
      <c r="E34" s="51">
        <v>14</v>
      </c>
      <c r="F34" s="644">
        <v>-2.9999999999999997E-4</v>
      </c>
      <c r="G34" s="51">
        <v>9.5</v>
      </c>
      <c r="H34" s="226">
        <v>0</v>
      </c>
      <c r="I34" s="226">
        <v>9.4</v>
      </c>
      <c r="J34" s="644">
        <v>0</v>
      </c>
      <c r="K34" s="226">
        <v>10.9</v>
      </c>
      <c r="L34" s="644">
        <v>-2.13E-4</v>
      </c>
      <c r="M34" s="226">
        <v>7.7</v>
      </c>
      <c r="N34" s="644">
        <v>0</v>
      </c>
      <c r="O34" s="226">
        <v>11.9</v>
      </c>
      <c r="P34" s="645">
        <v>0</v>
      </c>
      <c r="Q34" s="206">
        <v>3.3</v>
      </c>
      <c r="R34" s="663">
        <v>0</v>
      </c>
      <c r="S34" s="226">
        <v>14</v>
      </c>
      <c r="T34" s="645">
        <f t="shared" si="10"/>
        <v>-2.9999999999999997E-4</v>
      </c>
      <c r="U34" s="226">
        <v>3.7</v>
      </c>
      <c r="V34" s="645">
        <f t="shared" si="11"/>
        <v>-5.1999999999999997E-5</v>
      </c>
      <c r="W34" s="226">
        <v>9.5</v>
      </c>
      <c r="X34" s="644">
        <v>0</v>
      </c>
      <c r="Y34" s="226">
        <v>2.9</v>
      </c>
      <c r="Z34" s="644">
        <v>0</v>
      </c>
      <c r="AA34" s="226">
        <v>9.3000000000000007</v>
      </c>
      <c r="AB34" s="645">
        <v>0</v>
      </c>
      <c r="AC34" s="226">
        <v>2.7</v>
      </c>
      <c r="AD34" s="644">
        <v>0</v>
      </c>
      <c r="AE34" s="226">
        <v>10.8</v>
      </c>
      <c r="AF34" s="645">
        <f t="shared" si="8"/>
        <v>-2.13E-4</v>
      </c>
      <c r="AG34" s="226">
        <v>2.9</v>
      </c>
      <c r="AH34" s="644">
        <f t="shared" si="9"/>
        <v>-2.5999999999999998E-5</v>
      </c>
      <c r="AI34" s="226">
        <v>7.6</v>
      </c>
      <c r="AJ34" s="645">
        <v>0</v>
      </c>
      <c r="AK34" s="226">
        <v>2.5</v>
      </c>
      <c r="AL34" s="644">
        <v>0</v>
      </c>
      <c r="AM34" s="49"/>
    </row>
    <row r="35" spans="1:39" x14ac:dyDescent="0.25">
      <c r="A35" s="937"/>
      <c r="B35" s="41">
        <v>2022</v>
      </c>
      <c r="C35" s="51">
        <v>11.9</v>
      </c>
      <c r="D35" s="644">
        <v>0</v>
      </c>
      <c r="E35" s="51">
        <v>14</v>
      </c>
      <c r="F35" s="644">
        <v>-2.9999999999999997E-4</v>
      </c>
      <c r="G35" s="51">
        <v>9.5</v>
      </c>
      <c r="H35" s="226">
        <v>0</v>
      </c>
      <c r="I35" s="226">
        <v>9.4</v>
      </c>
      <c r="J35" s="644">
        <v>0</v>
      </c>
      <c r="K35" s="226">
        <v>10.9</v>
      </c>
      <c r="L35" s="644">
        <v>-2.13E-4</v>
      </c>
      <c r="M35" s="226">
        <v>7.7</v>
      </c>
      <c r="N35" s="644">
        <v>0</v>
      </c>
      <c r="O35" s="226">
        <v>11.9</v>
      </c>
      <c r="P35" s="645">
        <v>0</v>
      </c>
      <c r="Q35" s="206">
        <v>3.3</v>
      </c>
      <c r="R35" s="663">
        <v>0</v>
      </c>
      <c r="S35" s="226">
        <v>14</v>
      </c>
      <c r="T35" s="645">
        <f t="shared" si="10"/>
        <v>-2.9999999999999997E-4</v>
      </c>
      <c r="U35" s="226">
        <v>3.7</v>
      </c>
      <c r="V35" s="645">
        <f t="shared" si="11"/>
        <v>-5.1999999999999997E-5</v>
      </c>
      <c r="W35" s="226">
        <v>9.5</v>
      </c>
      <c r="X35" s="644">
        <v>0</v>
      </c>
      <c r="Y35" s="226">
        <v>2.9</v>
      </c>
      <c r="Z35" s="644">
        <v>0</v>
      </c>
      <c r="AA35" s="226">
        <v>9.3000000000000007</v>
      </c>
      <c r="AB35" s="645">
        <v>0</v>
      </c>
      <c r="AC35" s="226">
        <v>2.7</v>
      </c>
      <c r="AD35" s="644">
        <v>0</v>
      </c>
      <c r="AE35" s="226">
        <v>10.8</v>
      </c>
      <c r="AF35" s="645">
        <f t="shared" si="8"/>
        <v>-2.13E-4</v>
      </c>
      <c r="AG35" s="226">
        <v>2.9</v>
      </c>
      <c r="AH35" s="644">
        <f t="shared" si="9"/>
        <v>-2.5999999999999998E-5</v>
      </c>
      <c r="AI35" s="226">
        <v>7.6</v>
      </c>
      <c r="AJ35" s="645">
        <v>0</v>
      </c>
      <c r="AK35" s="226">
        <v>2.5</v>
      </c>
      <c r="AL35" s="644">
        <v>0</v>
      </c>
      <c r="AM35" s="49"/>
    </row>
    <row r="36" spans="1:39" x14ac:dyDescent="0.25">
      <c r="A36" s="937"/>
      <c r="B36" s="41">
        <v>2023</v>
      </c>
      <c r="C36" s="51">
        <v>11.9</v>
      </c>
      <c r="D36" s="644">
        <v>0</v>
      </c>
      <c r="E36" s="51">
        <v>14</v>
      </c>
      <c r="F36" s="644">
        <v>-2.9999999999999997E-4</v>
      </c>
      <c r="G36" s="51">
        <v>9.5</v>
      </c>
      <c r="H36" s="226">
        <v>0</v>
      </c>
      <c r="I36" s="226">
        <v>9.4</v>
      </c>
      <c r="J36" s="644">
        <v>0</v>
      </c>
      <c r="K36" s="226">
        <v>10.9</v>
      </c>
      <c r="L36" s="644">
        <v>-2.13E-4</v>
      </c>
      <c r="M36" s="226">
        <v>7.7</v>
      </c>
      <c r="N36" s="644">
        <v>0</v>
      </c>
      <c r="O36" s="226">
        <v>11.9</v>
      </c>
      <c r="P36" s="645">
        <v>0</v>
      </c>
      <c r="Q36" s="206">
        <v>3.3</v>
      </c>
      <c r="R36" s="663">
        <v>0</v>
      </c>
      <c r="S36" s="226">
        <v>14</v>
      </c>
      <c r="T36" s="645">
        <f t="shared" si="10"/>
        <v>-2.9999999999999997E-4</v>
      </c>
      <c r="U36" s="226">
        <v>3.7</v>
      </c>
      <c r="V36" s="645">
        <f t="shared" si="11"/>
        <v>-5.1999999999999997E-5</v>
      </c>
      <c r="W36" s="226">
        <v>9.5</v>
      </c>
      <c r="X36" s="644">
        <v>0</v>
      </c>
      <c r="Y36" s="226">
        <v>2.9</v>
      </c>
      <c r="Z36" s="644">
        <v>0</v>
      </c>
      <c r="AA36" s="226">
        <v>9.3000000000000007</v>
      </c>
      <c r="AB36" s="645">
        <v>0</v>
      </c>
      <c r="AC36" s="226">
        <v>2.7</v>
      </c>
      <c r="AD36" s="644">
        <v>0</v>
      </c>
      <c r="AE36" s="226">
        <v>10.8</v>
      </c>
      <c r="AF36" s="645">
        <f t="shared" si="8"/>
        <v>-2.13E-4</v>
      </c>
      <c r="AG36" s="226">
        <v>2.9</v>
      </c>
      <c r="AH36" s="644">
        <f t="shared" si="9"/>
        <v>-2.5999999999999998E-5</v>
      </c>
      <c r="AI36" s="226">
        <v>7.6</v>
      </c>
      <c r="AJ36" s="645">
        <v>0</v>
      </c>
      <c r="AK36" s="226">
        <v>2.5</v>
      </c>
      <c r="AL36" s="644">
        <v>0</v>
      </c>
      <c r="AM36" s="49"/>
    </row>
    <row r="37" spans="1:39" x14ac:dyDescent="0.25">
      <c r="A37" s="937"/>
      <c r="B37" s="41">
        <v>2024</v>
      </c>
      <c r="C37" s="51">
        <v>11.9</v>
      </c>
      <c r="D37" s="644">
        <v>0</v>
      </c>
      <c r="E37" s="51">
        <v>14</v>
      </c>
      <c r="F37" s="644">
        <v>-2.9999999999999997E-4</v>
      </c>
      <c r="G37" s="51">
        <v>9.5</v>
      </c>
      <c r="H37" s="226">
        <v>0</v>
      </c>
      <c r="I37" s="226">
        <v>9.4</v>
      </c>
      <c r="J37" s="644">
        <v>0</v>
      </c>
      <c r="K37" s="226">
        <v>10.9</v>
      </c>
      <c r="L37" s="644">
        <v>-2.13E-4</v>
      </c>
      <c r="M37" s="226">
        <v>7.7</v>
      </c>
      <c r="N37" s="644">
        <v>0</v>
      </c>
      <c r="O37" s="226">
        <v>11.9</v>
      </c>
      <c r="P37" s="645">
        <v>0</v>
      </c>
      <c r="Q37" s="206">
        <v>3.3</v>
      </c>
      <c r="R37" s="663">
        <v>0</v>
      </c>
      <c r="S37" s="226">
        <v>14</v>
      </c>
      <c r="T37" s="645">
        <f t="shared" si="10"/>
        <v>-2.9999999999999997E-4</v>
      </c>
      <c r="U37" s="226">
        <v>3.7</v>
      </c>
      <c r="V37" s="645">
        <f t="shared" si="11"/>
        <v>-5.1999999999999997E-5</v>
      </c>
      <c r="W37" s="226">
        <v>9.5</v>
      </c>
      <c r="X37" s="644">
        <v>0</v>
      </c>
      <c r="Y37" s="226">
        <v>2.9</v>
      </c>
      <c r="Z37" s="644">
        <v>0</v>
      </c>
      <c r="AA37" s="226">
        <v>9.3000000000000007</v>
      </c>
      <c r="AB37" s="645">
        <v>0</v>
      </c>
      <c r="AC37" s="226">
        <v>2.7</v>
      </c>
      <c r="AD37" s="644">
        <v>0</v>
      </c>
      <c r="AE37" s="226">
        <v>10.8</v>
      </c>
      <c r="AF37" s="645">
        <f t="shared" si="8"/>
        <v>-2.13E-4</v>
      </c>
      <c r="AG37" s="226">
        <v>2.9</v>
      </c>
      <c r="AH37" s="644">
        <f t="shared" si="9"/>
        <v>-2.5999999999999998E-5</v>
      </c>
      <c r="AI37" s="226">
        <v>7.6</v>
      </c>
      <c r="AJ37" s="645">
        <v>0</v>
      </c>
      <c r="AK37" s="226">
        <v>2.5</v>
      </c>
      <c r="AL37" s="644">
        <v>0</v>
      </c>
      <c r="AM37" s="49"/>
    </row>
    <row r="38" spans="1:39" x14ac:dyDescent="0.25">
      <c r="A38" s="937"/>
      <c r="B38" s="41">
        <v>2025</v>
      </c>
      <c r="C38" s="51">
        <v>11.9</v>
      </c>
      <c r="D38" s="644">
        <v>0</v>
      </c>
      <c r="E38" s="51">
        <v>14</v>
      </c>
      <c r="F38" s="644">
        <v>-2.9999999999999997E-4</v>
      </c>
      <c r="G38" s="51">
        <v>9.5</v>
      </c>
      <c r="H38" s="226">
        <v>0</v>
      </c>
      <c r="I38" s="226">
        <v>9.4</v>
      </c>
      <c r="J38" s="644">
        <v>0</v>
      </c>
      <c r="K38" s="226">
        <v>10.9</v>
      </c>
      <c r="L38" s="644">
        <v>-2.13E-4</v>
      </c>
      <c r="M38" s="226">
        <v>7.7</v>
      </c>
      <c r="N38" s="644">
        <v>0</v>
      </c>
      <c r="O38" s="226">
        <v>11.9</v>
      </c>
      <c r="P38" s="645">
        <v>0</v>
      </c>
      <c r="Q38" s="206">
        <v>3.3</v>
      </c>
      <c r="R38" s="663">
        <v>0</v>
      </c>
      <c r="S38" s="226">
        <v>14</v>
      </c>
      <c r="T38" s="645">
        <f t="shared" si="10"/>
        <v>-2.9999999999999997E-4</v>
      </c>
      <c r="U38" s="226">
        <v>3.7</v>
      </c>
      <c r="V38" s="645">
        <f t="shared" si="11"/>
        <v>-5.1999999999999997E-5</v>
      </c>
      <c r="W38" s="226">
        <v>9.5</v>
      </c>
      <c r="X38" s="644">
        <v>0</v>
      </c>
      <c r="Y38" s="226">
        <v>2.9</v>
      </c>
      <c r="Z38" s="644">
        <v>0</v>
      </c>
      <c r="AA38" s="226">
        <v>9.3000000000000007</v>
      </c>
      <c r="AB38" s="645">
        <v>0</v>
      </c>
      <c r="AC38" s="226">
        <v>2.7</v>
      </c>
      <c r="AD38" s="644">
        <v>0</v>
      </c>
      <c r="AE38" s="226">
        <v>10.8</v>
      </c>
      <c r="AF38" s="645">
        <f t="shared" si="8"/>
        <v>-2.13E-4</v>
      </c>
      <c r="AG38" s="226">
        <v>2.9</v>
      </c>
      <c r="AH38" s="644">
        <f t="shared" si="9"/>
        <v>-2.5999999999999998E-5</v>
      </c>
      <c r="AI38" s="226">
        <v>7.6</v>
      </c>
      <c r="AJ38" s="645">
        <v>0</v>
      </c>
      <c r="AK38" s="226">
        <v>2.5</v>
      </c>
      <c r="AL38" s="644">
        <v>0</v>
      </c>
      <c r="AM38" s="49"/>
    </row>
    <row r="39" spans="1:39" x14ac:dyDescent="0.25">
      <c r="B39" s="414" t="str">
        <v>ARTRM9.2</v>
      </c>
      <c r="C39" s="50">
        <v>11.9</v>
      </c>
      <c r="D39" s="644">
        <v>0</v>
      </c>
      <c r="E39" s="50">
        <v>14</v>
      </c>
      <c r="F39" s="644">
        <v>-2.9999999999999997E-4</v>
      </c>
      <c r="G39" s="51">
        <v>9.5</v>
      </c>
      <c r="H39" s="226">
        <v>0</v>
      </c>
      <c r="I39" s="226">
        <v>9.4</v>
      </c>
      <c r="J39" s="644">
        <v>0</v>
      </c>
      <c r="K39" s="226">
        <v>10.9</v>
      </c>
      <c r="L39" s="644">
        <v>-2.13E-4</v>
      </c>
      <c r="M39" s="226">
        <v>7.7</v>
      </c>
      <c r="N39" s="644">
        <v>0</v>
      </c>
      <c r="O39" s="226">
        <v>11.9</v>
      </c>
      <c r="P39" s="645">
        <v>0</v>
      </c>
      <c r="Q39" s="206">
        <v>3.3</v>
      </c>
      <c r="R39" s="663">
        <v>0</v>
      </c>
      <c r="S39" s="206">
        <v>14</v>
      </c>
      <c r="T39" s="645">
        <f>-0.3/1000</f>
        <v>-2.9999999999999997E-4</v>
      </c>
      <c r="U39" s="206">
        <v>3.7</v>
      </c>
      <c r="V39" s="645">
        <f>-0.052/1000</f>
        <v>-5.1999999999999997E-5</v>
      </c>
      <c r="W39" s="226">
        <v>9.5</v>
      </c>
      <c r="X39" s="644">
        <v>0</v>
      </c>
      <c r="Y39" s="226">
        <v>2.9</v>
      </c>
      <c r="Z39" s="644">
        <v>0</v>
      </c>
      <c r="AA39" s="226">
        <v>9.3000000000000007</v>
      </c>
      <c r="AB39" s="645">
        <v>0</v>
      </c>
      <c r="AC39" s="226">
        <v>2.7</v>
      </c>
      <c r="AD39" s="644">
        <v>0</v>
      </c>
      <c r="AE39" s="226">
        <v>10.8</v>
      </c>
      <c r="AF39" s="645">
        <f t="shared" si="8"/>
        <v>-2.13E-4</v>
      </c>
      <c r="AG39" s="226">
        <v>2.9</v>
      </c>
      <c r="AH39" s="644">
        <f t="shared" si="9"/>
        <v>-2.5999999999999998E-5</v>
      </c>
      <c r="AI39" s="226">
        <v>7.6</v>
      </c>
      <c r="AJ39" s="645">
        <v>0</v>
      </c>
      <c r="AK39" s="226">
        <v>2.5</v>
      </c>
      <c r="AL39" s="644">
        <v>0</v>
      </c>
      <c r="AM39" s="49"/>
    </row>
    <row r="40" spans="1:39" ht="15" customHeight="1" x14ac:dyDescent="0.25">
      <c r="B40" s="240" t="str">
        <v>CPS</v>
      </c>
      <c r="C40" s="51">
        <v>11.9</v>
      </c>
      <c r="D40" s="644">
        <v>0</v>
      </c>
      <c r="E40" s="51">
        <v>14</v>
      </c>
      <c r="F40" s="644">
        <v>-2.9999999999999997E-4</v>
      </c>
      <c r="G40" s="51">
        <v>9.5</v>
      </c>
      <c r="H40" s="226">
        <v>0</v>
      </c>
      <c r="I40" s="226">
        <v>9.4</v>
      </c>
      <c r="J40" s="644">
        <v>0</v>
      </c>
      <c r="K40" s="226">
        <v>10.9</v>
      </c>
      <c r="L40" s="644">
        <v>-2.13E-4</v>
      </c>
      <c r="M40" s="226">
        <v>7.7</v>
      </c>
      <c r="N40" s="644">
        <v>0</v>
      </c>
      <c r="O40" s="226">
        <v>11.9</v>
      </c>
      <c r="P40" s="645">
        <v>0</v>
      </c>
      <c r="Q40" s="206">
        <v>3.3</v>
      </c>
      <c r="R40" s="663">
        <v>0</v>
      </c>
      <c r="S40" s="206">
        <v>14</v>
      </c>
      <c r="T40" s="645">
        <f>-0.3/1000</f>
        <v>-2.9999999999999997E-4</v>
      </c>
      <c r="U40" s="206">
        <v>3.7</v>
      </c>
      <c r="V40" s="645">
        <f>-0.052/1000</f>
        <v>-5.1999999999999997E-5</v>
      </c>
      <c r="W40" s="226">
        <v>9.5</v>
      </c>
      <c r="X40" s="644">
        <v>0</v>
      </c>
      <c r="Y40" s="226">
        <v>2.9</v>
      </c>
      <c r="Z40" s="644">
        <v>0</v>
      </c>
      <c r="AA40" s="226">
        <v>9.3000000000000007</v>
      </c>
      <c r="AB40" s="645">
        <v>0</v>
      </c>
      <c r="AC40" s="226">
        <v>2.7</v>
      </c>
      <c r="AD40" s="644">
        <v>0</v>
      </c>
      <c r="AE40" s="226">
        <v>10.8</v>
      </c>
      <c r="AF40" s="645">
        <f t="shared" si="8"/>
        <v>-2.13E-4</v>
      </c>
      <c r="AG40" s="226">
        <v>2.9</v>
      </c>
      <c r="AH40" s="644">
        <f t="shared" si="9"/>
        <v>-2.5999999999999998E-5</v>
      </c>
      <c r="AI40" s="226">
        <v>7.6</v>
      </c>
      <c r="AJ40" s="645">
        <v>0</v>
      </c>
      <c r="AK40" s="226">
        <v>2.5</v>
      </c>
      <c r="AL40" s="644">
        <v>0</v>
      </c>
      <c r="AM40" s="49"/>
    </row>
    <row r="41" spans="1:39" x14ac:dyDescent="0.25">
      <c r="C41" s="35"/>
      <c r="D41" s="35"/>
      <c r="E41" s="35"/>
      <c r="F41" s="35"/>
      <c r="G41" s="35"/>
      <c r="H41" s="35"/>
      <c r="I41" s="35"/>
      <c r="J41" s="35"/>
      <c r="K41" s="35"/>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c r="AL41" s="35"/>
    </row>
    <row r="42" spans="1:39" x14ac:dyDescent="0.25">
      <c r="C42" s="35"/>
      <c r="D42" s="35"/>
      <c r="E42" s="35"/>
      <c r="F42" s="35"/>
      <c r="G42" s="35"/>
      <c r="H42" s="35"/>
      <c r="I42" s="35"/>
      <c r="J42" s="35"/>
      <c r="K42" s="35"/>
      <c r="L42" s="35"/>
      <c r="M42" s="35"/>
      <c r="N42" s="35"/>
      <c r="O42" s="35"/>
      <c r="P42" s="35"/>
      <c r="Q42" s="35"/>
      <c r="R42" s="35"/>
      <c r="S42" s="35"/>
      <c r="T42" s="35"/>
      <c r="U42" s="35"/>
      <c r="V42" s="35"/>
      <c r="W42" s="35"/>
      <c r="X42" s="35"/>
      <c r="Y42" s="35"/>
      <c r="Z42" s="35"/>
      <c r="AA42" s="35"/>
      <c r="AB42" s="35"/>
      <c r="AC42" s="35"/>
      <c r="AD42" s="35"/>
      <c r="AE42" s="35"/>
      <c r="AF42" s="35"/>
      <c r="AG42" s="35"/>
      <c r="AH42" s="35"/>
      <c r="AI42" s="35"/>
      <c r="AJ42" s="35"/>
      <c r="AK42" s="35"/>
      <c r="AL42" s="35"/>
    </row>
    <row r="43" spans="1:39" ht="75" x14ac:dyDescent="0.25">
      <c r="C43" s="35" t="s">
        <v>1485</v>
      </c>
      <c r="D43" s="35"/>
      <c r="E43" s="35"/>
      <c r="F43" s="35"/>
      <c r="G43" s="35"/>
      <c r="H43" s="35"/>
      <c r="I43" s="35"/>
      <c r="J43" s="35"/>
      <c r="K43" s="35"/>
      <c r="L43" s="35"/>
      <c r="M43" s="35"/>
      <c r="N43" s="35"/>
      <c r="O43" s="35"/>
      <c r="P43" s="35"/>
      <c r="Q43" s="35"/>
      <c r="R43" s="35"/>
      <c r="S43" s="35"/>
      <c r="T43" s="35"/>
      <c r="U43" s="35"/>
      <c r="V43" s="35"/>
      <c r="W43" s="35"/>
      <c r="X43" s="35"/>
      <c r="Y43" s="35"/>
      <c r="Z43" s="35"/>
      <c r="AA43" s="35"/>
      <c r="AB43" s="35"/>
      <c r="AC43" s="35"/>
      <c r="AD43" s="35"/>
      <c r="AE43" s="35"/>
      <c r="AF43" s="35"/>
      <c r="AG43" s="35"/>
      <c r="AH43" s="35"/>
      <c r="AI43" s="35"/>
      <c r="AJ43" s="35"/>
      <c r="AK43" s="35"/>
      <c r="AL43" s="35"/>
    </row>
    <row r="44" spans="1:39" x14ac:dyDescent="0.25">
      <c r="C44" s="35"/>
      <c r="D44" s="35"/>
      <c r="E44" s="35"/>
      <c r="F44" s="35"/>
      <c r="G44" s="35"/>
      <c r="H44" s="35"/>
      <c r="I44" s="35"/>
      <c r="J44" s="35"/>
      <c r="K44" s="35"/>
      <c r="L44" s="35"/>
      <c r="M44" s="35"/>
      <c r="N44" s="35"/>
      <c r="O44" s="35"/>
      <c r="P44" s="35"/>
      <c r="Q44" s="35"/>
      <c r="R44" s="35"/>
      <c r="S44" s="35"/>
      <c r="T44" s="35"/>
      <c r="U44" s="35"/>
      <c r="V44" s="35"/>
      <c r="W44" s="35"/>
      <c r="X44" s="35"/>
      <c r="Y44" s="35"/>
      <c r="Z44" s="35"/>
      <c r="AA44" s="35"/>
      <c r="AB44" s="35"/>
      <c r="AC44" s="35"/>
      <c r="AD44" s="35"/>
      <c r="AE44" s="35"/>
      <c r="AF44" s="35"/>
      <c r="AG44" s="35"/>
      <c r="AH44" s="35"/>
      <c r="AI44" s="35"/>
      <c r="AJ44" s="35"/>
      <c r="AK44" s="35"/>
      <c r="AL44" s="35"/>
    </row>
    <row r="45" spans="1:39" x14ac:dyDescent="0.25">
      <c r="C45" s="35"/>
      <c r="D45" s="35"/>
      <c r="E45" s="35"/>
      <c r="F45" s="35"/>
      <c r="G45" s="35"/>
      <c r="H45" s="35"/>
      <c r="I45" s="35"/>
      <c r="J45" s="35"/>
      <c r="K45" s="35"/>
      <c r="L45" s="35"/>
      <c r="M45" s="35"/>
      <c r="N45" s="35"/>
      <c r="O45" s="35"/>
      <c r="P45" s="35"/>
      <c r="Q45" s="35"/>
      <c r="R45" s="35"/>
      <c r="S45" s="35"/>
      <c r="T45" s="35"/>
      <c r="U45" s="35"/>
      <c r="V45" s="35"/>
      <c r="W45" s="35"/>
      <c r="X45" s="35"/>
      <c r="Y45" s="35"/>
      <c r="Z45" s="35"/>
      <c r="AA45" s="35"/>
      <c r="AB45" s="35"/>
      <c r="AC45" s="35"/>
      <c r="AD45" s="35"/>
      <c r="AE45" s="35"/>
      <c r="AF45" s="35"/>
      <c r="AG45" s="35"/>
      <c r="AH45" s="35"/>
      <c r="AI45" s="35"/>
      <c r="AJ45" s="35"/>
      <c r="AK45" s="35"/>
      <c r="AL45" s="35"/>
    </row>
    <row r="48" spans="1:39" x14ac:dyDescent="0.25">
      <c r="C48" s="35"/>
      <c r="D48" s="35"/>
      <c r="E48" s="35"/>
      <c r="F48" s="35"/>
      <c r="G48" s="35"/>
      <c r="H48" s="35"/>
      <c r="I48" s="35"/>
      <c r="J48" s="35"/>
      <c r="K48" s="35"/>
      <c r="L48" s="35"/>
      <c r="M48" s="35"/>
      <c r="N48" s="35"/>
      <c r="O48" s="35"/>
      <c r="P48" s="35"/>
      <c r="Q48" s="35"/>
      <c r="R48" s="35"/>
      <c r="S48" s="35"/>
      <c r="T48" s="35"/>
      <c r="U48" s="35"/>
      <c r="V48" s="35"/>
      <c r="W48" s="35"/>
      <c r="X48" s="35"/>
      <c r="Y48" s="35"/>
      <c r="Z48" s="35"/>
      <c r="AA48" s="35"/>
      <c r="AB48" s="35"/>
      <c r="AC48" s="35"/>
      <c r="AD48" s="35"/>
      <c r="AE48" s="35"/>
      <c r="AF48" s="35"/>
      <c r="AG48" s="35"/>
      <c r="AH48" s="35"/>
      <c r="AI48" s="35"/>
      <c r="AJ48" s="35"/>
      <c r="AK48" s="35"/>
      <c r="AL48" s="35"/>
    </row>
    <row r="49" s="35" customFormat="1" x14ac:dyDescent="0.25"/>
    <row r="50" s="35" customFormat="1" x14ac:dyDescent="0.25"/>
    <row r="51" s="35" customFormat="1" x14ac:dyDescent="0.25"/>
    <row r="52" s="35" customFormat="1" x14ac:dyDescent="0.25"/>
    <row r="53" s="35" customFormat="1" x14ac:dyDescent="0.25"/>
    <row r="54" s="35" customFormat="1" x14ac:dyDescent="0.25"/>
    <row r="55" s="35" customFormat="1" x14ac:dyDescent="0.25"/>
    <row r="56" s="35" customFormat="1" x14ac:dyDescent="0.25"/>
    <row r="57" s="35" customFormat="1" x14ac:dyDescent="0.25"/>
    <row r="58" s="35" customFormat="1" x14ac:dyDescent="0.25"/>
  </sheetData>
  <mergeCells count="3">
    <mergeCell ref="AM8:AM9"/>
    <mergeCell ref="A10:A38"/>
    <mergeCell ref="A8:B9"/>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7DB68-B20E-4D6F-9294-1BC847CBC818}">
  <sheetPr codeName="Sheet19"/>
  <dimension ref="A1:DE41"/>
  <sheetViews>
    <sheetView zoomScale="80" zoomScaleNormal="80" workbookViewId="0">
      <selection activeCell="CI40" sqref="CI40"/>
    </sheetView>
  </sheetViews>
  <sheetFormatPr defaultRowHeight="15" x14ac:dyDescent="0.25"/>
  <cols>
    <col min="1" max="1" width="12.85546875" bestFit="1" customWidth="1"/>
    <col min="3" max="3" width="10.140625" bestFit="1" customWidth="1"/>
    <col min="4" max="4" width="13" bestFit="1" customWidth="1"/>
    <col min="6" max="6" width="10.140625" bestFit="1" customWidth="1"/>
    <col min="7" max="7" width="13" bestFit="1" customWidth="1"/>
    <col min="9" max="10" width="10.140625" bestFit="1" customWidth="1"/>
    <col min="75" max="75" width="10.140625" bestFit="1" customWidth="1"/>
    <col min="76" max="76" width="13" bestFit="1" customWidth="1"/>
  </cols>
  <sheetData>
    <row r="1" spans="1:109" x14ac:dyDescent="0.25">
      <c r="B1" t="s">
        <v>1062</v>
      </c>
      <c r="E1" t="s">
        <v>1062</v>
      </c>
      <c r="H1" t="s">
        <v>1062</v>
      </c>
      <c r="K1" t="s">
        <v>1062</v>
      </c>
      <c r="N1" t="s">
        <v>1062</v>
      </c>
      <c r="Q1" t="s">
        <v>1062</v>
      </c>
      <c r="T1" t="s">
        <v>1062</v>
      </c>
      <c r="W1" t="s">
        <v>1062</v>
      </c>
      <c r="Z1" t="s">
        <v>1062</v>
      </c>
      <c r="AC1" t="s">
        <v>1062</v>
      </c>
      <c r="AF1" t="s">
        <v>1062</v>
      </c>
      <c r="AI1" t="s">
        <v>1062</v>
      </c>
      <c r="AL1" t="s">
        <v>1062</v>
      </c>
      <c r="AO1" t="s">
        <v>1062</v>
      </c>
      <c r="AR1" t="s">
        <v>1062</v>
      </c>
      <c r="AU1" t="s">
        <v>1062</v>
      </c>
      <c r="AX1" t="s">
        <v>1062</v>
      </c>
      <c r="BA1" t="s">
        <v>1062</v>
      </c>
      <c r="BD1" t="s">
        <v>1062</v>
      </c>
      <c r="BG1" t="s">
        <v>1062</v>
      </c>
      <c r="BJ1" t="s">
        <v>1062</v>
      </c>
      <c r="BM1" t="s">
        <v>1062</v>
      </c>
      <c r="BP1" t="s">
        <v>1062</v>
      </c>
      <c r="BS1" t="s">
        <v>1062</v>
      </c>
      <c r="BV1" t="s">
        <v>1062</v>
      </c>
      <c r="BY1" t="s">
        <v>1062</v>
      </c>
      <c r="CB1" t="s">
        <v>1062</v>
      </c>
      <c r="CE1" t="s">
        <v>1062</v>
      </c>
      <c r="CH1" t="s">
        <v>1062</v>
      </c>
      <c r="CK1" t="s">
        <v>1062</v>
      </c>
      <c r="CN1" t="s">
        <v>1062</v>
      </c>
      <c r="CQ1" t="s">
        <v>1062</v>
      </c>
      <c r="CT1" t="s">
        <v>1062</v>
      </c>
      <c r="CW1" t="s">
        <v>1062</v>
      </c>
      <c r="CZ1" t="s">
        <v>1062</v>
      </c>
      <c r="DC1" t="s">
        <v>1062</v>
      </c>
    </row>
    <row r="2" spans="1:109" x14ac:dyDescent="0.25">
      <c r="B2" t="s">
        <v>1089</v>
      </c>
      <c r="E2" t="s">
        <v>1089</v>
      </c>
      <c r="H2" t="s">
        <v>1089</v>
      </c>
      <c r="K2" t="s">
        <v>1090</v>
      </c>
      <c r="N2" t="s">
        <v>1090</v>
      </c>
      <c r="Q2" t="s">
        <v>1090</v>
      </c>
      <c r="T2" t="s">
        <v>1091</v>
      </c>
      <c r="W2" t="s">
        <v>1091</v>
      </c>
      <c r="Z2" t="s">
        <v>1091</v>
      </c>
      <c r="AC2" t="s">
        <v>1092</v>
      </c>
      <c r="AF2" t="s">
        <v>1092</v>
      </c>
      <c r="AI2" t="s">
        <v>1092</v>
      </c>
      <c r="AL2" t="s">
        <v>1093</v>
      </c>
      <c r="AO2" t="s">
        <v>1093</v>
      </c>
      <c r="AR2" t="s">
        <v>1093</v>
      </c>
      <c r="AU2" t="s">
        <v>1094</v>
      </c>
      <c r="AX2" t="s">
        <v>1094</v>
      </c>
      <c r="BA2" t="s">
        <v>1094</v>
      </c>
      <c r="BD2" t="s">
        <v>1095</v>
      </c>
      <c r="BG2" t="s">
        <v>1095</v>
      </c>
      <c r="BJ2" t="s">
        <v>1095</v>
      </c>
      <c r="BM2" t="s">
        <v>1096</v>
      </c>
      <c r="BP2" t="s">
        <v>1096</v>
      </c>
      <c r="BS2" t="s">
        <v>1096</v>
      </c>
      <c r="BV2" t="s">
        <v>1531</v>
      </c>
      <c r="BY2" t="s">
        <v>1531</v>
      </c>
      <c r="CB2" t="s">
        <v>1531</v>
      </c>
      <c r="CE2" t="s">
        <v>1532</v>
      </c>
      <c r="CH2" t="s">
        <v>1532</v>
      </c>
      <c r="CK2" t="s">
        <v>1532</v>
      </c>
      <c r="CN2" t="s">
        <v>1533</v>
      </c>
      <c r="CQ2" t="s">
        <v>1533</v>
      </c>
      <c r="CT2" t="s">
        <v>1533</v>
      </c>
      <c r="CW2" t="s">
        <v>1534</v>
      </c>
      <c r="CZ2" t="s">
        <v>1534</v>
      </c>
      <c r="DC2" t="s">
        <v>1534</v>
      </c>
    </row>
    <row r="3" spans="1:109" x14ac:dyDescent="0.25">
      <c r="B3" t="s">
        <v>347</v>
      </c>
      <c r="E3" t="s">
        <v>1063</v>
      </c>
      <c r="H3" t="s">
        <v>1064</v>
      </c>
      <c r="K3" t="s">
        <v>347</v>
      </c>
      <c r="N3" t="s">
        <v>1063</v>
      </c>
      <c r="Q3" t="s">
        <v>1064</v>
      </c>
      <c r="T3" t="s">
        <v>347</v>
      </c>
      <c r="W3" t="s">
        <v>1063</v>
      </c>
      <c r="Z3" t="s">
        <v>1064</v>
      </c>
      <c r="AC3" t="s">
        <v>347</v>
      </c>
      <c r="AF3" t="s">
        <v>1063</v>
      </c>
      <c r="AI3" t="s">
        <v>1064</v>
      </c>
      <c r="AL3" t="s">
        <v>347</v>
      </c>
      <c r="AO3" t="s">
        <v>1063</v>
      </c>
      <c r="AR3" t="s">
        <v>1064</v>
      </c>
      <c r="AU3" t="s">
        <v>347</v>
      </c>
      <c r="AX3" t="s">
        <v>1063</v>
      </c>
      <c r="BA3" t="s">
        <v>1064</v>
      </c>
      <c r="BD3" t="s">
        <v>347</v>
      </c>
      <c r="BG3" t="s">
        <v>1063</v>
      </c>
      <c r="BJ3" t="s">
        <v>1064</v>
      </c>
      <c r="BM3" t="s">
        <v>347</v>
      </c>
      <c r="BP3" t="s">
        <v>1063</v>
      </c>
      <c r="BS3" t="s">
        <v>1064</v>
      </c>
      <c r="BV3" t="s">
        <v>347</v>
      </c>
      <c r="BY3" t="s">
        <v>1063</v>
      </c>
      <c r="CB3" t="s">
        <v>1064</v>
      </c>
      <c r="CE3" t="s">
        <v>347</v>
      </c>
      <c r="CH3" t="s">
        <v>1063</v>
      </c>
      <c r="CK3" t="s">
        <v>1064</v>
      </c>
      <c r="CN3" t="s">
        <v>347</v>
      </c>
      <c r="CQ3" t="s">
        <v>1063</v>
      </c>
      <c r="CT3" t="s">
        <v>1064</v>
      </c>
      <c r="CW3" t="s">
        <v>347</v>
      </c>
      <c r="CZ3" t="s">
        <v>1063</v>
      </c>
      <c r="DC3" t="s">
        <v>1064</v>
      </c>
    </row>
    <row r="4" spans="1:109" ht="15.75" thickBot="1" x14ac:dyDescent="0.3">
      <c r="B4" t="str">
        <f t="shared" ref="B4" si="0">B1&amp;B2&amp;B3</f>
        <v>ComputerRoomACAirCooledDownflowLessthan65kbtuh</v>
      </c>
      <c r="E4" t="str">
        <f t="shared" ref="E4" si="1">E1&amp;E2&amp;E3</f>
        <v>ComputerRoomACAirCooledDownflow65to240kbtuh</v>
      </c>
      <c r="H4" t="str">
        <f t="shared" ref="H4" si="2">H1&amp;H2&amp;H3</f>
        <v>ComputerRoomACAirCooledDownflowGreaterThan240kbtuh</v>
      </c>
      <c r="K4" t="str">
        <f t="shared" ref="K4" si="3">K1&amp;K2&amp;K3</f>
        <v>ComputerRoomACWaterCooledDownflowLessthan65kbtuh</v>
      </c>
      <c r="N4" t="str">
        <f t="shared" ref="N4" si="4">N1&amp;N2&amp;N3</f>
        <v>ComputerRoomACWaterCooledDownflow65to240kbtuh</v>
      </c>
      <c r="Q4" t="str">
        <f t="shared" ref="Q4" si="5">Q1&amp;Q2&amp;Q3</f>
        <v>ComputerRoomACWaterCooledDownflowGreaterThan240kbtuh</v>
      </c>
      <c r="T4" t="str">
        <f t="shared" ref="T4" si="6">T1&amp;T2&amp;T3</f>
        <v>ComputerRoomACWaterCooledwithFluidEconomizerDownflowLessthan65kbtuh</v>
      </c>
      <c r="W4" t="str">
        <f t="shared" ref="W4" si="7">W1&amp;W2&amp;W3</f>
        <v>ComputerRoomACWaterCooledwithFluidEconomizerDownflow65to240kbtuh</v>
      </c>
      <c r="Z4" t="str">
        <f t="shared" ref="Z4" si="8">Z1&amp;Z2&amp;Z3</f>
        <v>ComputerRoomACWaterCooledwithFluidEconomizerDownflowGreaterThan240kbtuh</v>
      </c>
      <c r="AC4" t="str">
        <f t="shared" ref="AC4" si="9">AC1&amp;AC2&amp;AC3</f>
        <v>ComputerRoomACGlycolCooledDownflowLessthan65kbtuh</v>
      </c>
      <c r="AF4" t="str">
        <f t="shared" ref="AF4" si="10">AF1&amp;AF2&amp;AF3</f>
        <v>ComputerRoomACGlycolCooledDownflow65to240kbtuh</v>
      </c>
      <c r="AI4" t="str">
        <f t="shared" ref="AI4" si="11">AI1&amp;AI2&amp;AI3</f>
        <v>ComputerRoomACGlycolCooledDownflowGreaterThan240kbtuh</v>
      </c>
      <c r="AL4" t="str">
        <f t="shared" ref="AL4" si="12">AL1&amp;AL2&amp;AL3</f>
        <v>ComputerRoomACAirCooledUpflowLessthan65kbtuh</v>
      </c>
      <c r="AO4" t="str">
        <f t="shared" ref="AO4" si="13">AO1&amp;AO2&amp;AO3</f>
        <v>ComputerRoomACAirCooledUpflow65to240kbtuh</v>
      </c>
      <c r="AR4" t="str">
        <f t="shared" ref="AR4" si="14">AR1&amp;AR2&amp;AR3</f>
        <v>ComputerRoomACAirCooledUpflowGreaterThan240kbtuh</v>
      </c>
      <c r="AU4" t="str">
        <f t="shared" ref="AU4" si="15">AU1&amp;AU2&amp;AU3</f>
        <v>ComputerRoomACWaterCooledUpflowLessthan65kbtuh</v>
      </c>
      <c r="AX4" t="str">
        <f t="shared" ref="AX4" si="16">AX1&amp;AX2&amp;AX3</f>
        <v>ComputerRoomACWaterCooledUpflow65to240kbtuh</v>
      </c>
      <c r="BA4" t="str">
        <f t="shared" ref="BA4" si="17">BA1&amp;BA2&amp;BA3</f>
        <v>ComputerRoomACWaterCooledUpflowGreaterThan240kbtuh</v>
      </c>
      <c r="BD4" t="str">
        <f t="shared" ref="BD4" si="18">BD1&amp;BD2&amp;BD3</f>
        <v>ComputerRoomACWaterCooledwithFluidEconomizerUpflowLessthan65kbtuh</v>
      </c>
      <c r="BG4" t="str">
        <f t="shared" ref="BG4" si="19">BG1&amp;BG2&amp;BG3</f>
        <v>ComputerRoomACWaterCooledwithFluidEconomizerUpflow65to240kbtuh</v>
      </c>
      <c r="BJ4" t="str">
        <f t="shared" ref="BJ4" si="20">BJ1&amp;BJ2&amp;BJ3</f>
        <v>ComputerRoomACWaterCooledwithFluidEconomizerUpflowGreaterThan240kbtuh</v>
      </c>
      <c r="BM4" t="str">
        <f t="shared" ref="BM4" si="21">BM1&amp;BM2&amp;BM3</f>
        <v>ComputerRoomACGlycolCooledUpflowLessthan65kbtuh</v>
      </c>
      <c r="BP4" t="str">
        <f t="shared" ref="BP4" si="22">BP1&amp;BP2&amp;BP3</f>
        <v>ComputerRoomACGlycolCooledUpflow65to240kbtuh</v>
      </c>
      <c r="BS4" t="str">
        <f t="shared" ref="BS4" si="23">BS1&amp;BS2&amp;BS3</f>
        <v>ComputerRoomACGlycolCooledUpflowGreaterThan240kbtuh</v>
      </c>
      <c r="BV4" t="s">
        <v>1535</v>
      </c>
      <c r="BY4" t="s">
        <v>1536</v>
      </c>
      <c r="CB4" t="s">
        <v>1537</v>
      </c>
      <c r="CE4" t="s">
        <v>1538</v>
      </c>
      <c r="CH4" t="s">
        <v>1539</v>
      </c>
      <c r="CK4" t="s">
        <v>1540</v>
      </c>
      <c r="CN4" t="s">
        <v>1541</v>
      </c>
      <c r="CQ4" t="s">
        <v>1542</v>
      </c>
      <c r="CT4" t="s">
        <v>1543</v>
      </c>
      <c r="CW4" t="s">
        <v>1544</v>
      </c>
      <c r="CZ4" t="s">
        <v>1545</v>
      </c>
      <c r="DC4" t="s">
        <v>1546</v>
      </c>
    </row>
    <row r="5" spans="1:109" x14ac:dyDescent="0.25">
      <c r="A5" s="758" t="s">
        <v>26</v>
      </c>
      <c r="B5" s="30" t="s">
        <v>1065</v>
      </c>
      <c r="C5" s="65" t="s">
        <v>45</v>
      </c>
      <c r="D5" s="422" t="s">
        <v>46</v>
      </c>
      <c r="E5" s="30" t="s">
        <v>1065</v>
      </c>
      <c r="F5" s="65" t="s">
        <v>45</v>
      </c>
      <c r="G5" s="422" t="s">
        <v>46</v>
      </c>
      <c r="H5" s="30" t="s">
        <v>1065</v>
      </c>
      <c r="I5" s="65" t="s">
        <v>45</v>
      </c>
      <c r="J5" s="422" t="s">
        <v>46</v>
      </c>
      <c r="K5" s="30" t="s">
        <v>1065</v>
      </c>
      <c r="L5" s="65" t="s">
        <v>45</v>
      </c>
      <c r="M5" s="422" t="s">
        <v>46</v>
      </c>
      <c r="N5" s="30" t="s">
        <v>1065</v>
      </c>
      <c r="O5" s="65" t="s">
        <v>45</v>
      </c>
      <c r="P5" s="422" t="s">
        <v>46</v>
      </c>
      <c r="Q5" s="30" t="s">
        <v>1065</v>
      </c>
      <c r="R5" s="65" t="s">
        <v>45</v>
      </c>
      <c r="S5" s="422" t="s">
        <v>46</v>
      </c>
      <c r="T5" s="30" t="s">
        <v>1065</v>
      </c>
      <c r="U5" s="65" t="s">
        <v>45</v>
      </c>
      <c r="V5" s="422" t="s">
        <v>46</v>
      </c>
      <c r="W5" s="30" t="s">
        <v>1065</v>
      </c>
      <c r="X5" s="65" t="s">
        <v>45</v>
      </c>
      <c r="Y5" s="422" t="s">
        <v>46</v>
      </c>
      <c r="Z5" s="30" t="s">
        <v>1065</v>
      </c>
      <c r="AA5" s="65" t="s">
        <v>45</v>
      </c>
      <c r="AB5" s="422" t="s">
        <v>46</v>
      </c>
      <c r="AC5" s="30" t="s">
        <v>1065</v>
      </c>
      <c r="AD5" s="65" t="s">
        <v>45</v>
      </c>
      <c r="AE5" s="422" t="s">
        <v>46</v>
      </c>
      <c r="AF5" s="30" t="s">
        <v>1065</v>
      </c>
      <c r="AG5" s="65" t="s">
        <v>45</v>
      </c>
      <c r="AH5" s="422" t="s">
        <v>46</v>
      </c>
      <c r="AI5" s="30" t="s">
        <v>1065</v>
      </c>
      <c r="AJ5" s="65" t="s">
        <v>45</v>
      </c>
      <c r="AK5" s="422" t="s">
        <v>46</v>
      </c>
      <c r="AL5" s="30" t="s">
        <v>1065</v>
      </c>
      <c r="AM5" s="65" t="s">
        <v>45</v>
      </c>
      <c r="AN5" s="422" t="s">
        <v>46</v>
      </c>
      <c r="AO5" s="30" t="s">
        <v>1065</v>
      </c>
      <c r="AP5" s="65" t="s">
        <v>45</v>
      </c>
      <c r="AQ5" s="422" t="s">
        <v>46</v>
      </c>
      <c r="AR5" s="30" t="s">
        <v>1065</v>
      </c>
      <c r="AS5" s="65" t="s">
        <v>45</v>
      </c>
      <c r="AT5" s="422" t="s">
        <v>46</v>
      </c>
      <c r="AU5" s="30" t="s">
        <v>1065</v>
      </c>
      <c r="AV5" s="65" t="s">
        <v>45</v>
      </c>
      <c r="AW5" s="422" t="s">
        <v>46</v>
      </c>
      <c r="AX5" s="30" t="s">
        <v>1065</v>
      </c>
      <c r="AY5" s="65" t="s">
        <v>45</v>
      </c>
      <c r="AZ5" s="422" t="s">
        <v>46</v>
      </c>
      <c r="BA5" s="30" t="s">
        <v>1065</v>
      </c>
      <c r="BB5" s="65" t="s">
        <v>45</v>
      </c>
      <c r="BC5" s="422" t="s">
        <v>46</v>
      </c>
      <c r="BD5" s="30" t="s">
        <v>1065</v>
      </c>
      <c r="BE5" s="65" t="s">
        <v>45</v>
      </c>
      <c r="BF5" s="422" t="s">
        <v>46</v>
      </c>
      <c r="BG5" s="30" t="s">
        <v>1065</v>
      </c>
      <c r="BH5" s="65" t="s">
        <v>45</v>
      </c>
      <c r="BI5" s="422" t="s">
        <v>46</v>
      </c>
      <c r="BJ5" s="30" t="s">
        <v>1065</v>
      </c>
      <c r="BK5" s="65" t="s">
        <v>45</v>
      </c>
      <c r="BL5" s="422" t="s">
        <v>46</v>
      </c>
      <c r="BM5" s="30" t="s">
        <v>1065</v>
      </c>
      <c r="BN5" s="65" t="s">
        <v>45</v>
      </c>
      <c r="BO5" s="422" t="s">
        <v>46</v>
      </c>
      <c r="BP5" s="30" t="s">
        <v>1065</v>
      </c>
      <c r="BQ5" s="65" t="s">
        <v>45</v>
      </c>
      <c r="BR5" s="422" t="s">
        <v>46</v>
      </c>
      <c r="BS5" s="30" t="s">
        <v>1065</v>
      </c>
      <c r="BT5" s="65" t="s">
        <v>45</v>
      </c>
      <c r="BU5" s="422" t="s">
        <v>46</v>
      </c>
      <c r="BV5" s="30" t="s">
        <v>1065</v>
      </c>
      <c r="BW5" s="65" t="s">
        <v>45</v>
      </c>
      <c r="BX5" s="422" t="s">
        <v>46</v>
      </c>
      <c r="BY5" s="30" t="s">
        <v>1065</v>
      </c>
      <c r="BZ5" s="65" t="s">
        <v>45</v>
      </c>
      <c r="CA5" s="422" t="s">
        <v>46</v>
      </c>
      <c r="CB5" s="30" t="s">
        <v>1065</v>
      </c>
      <c r="CC5" s="65" t="s">
        <v>45</v>
      </c>
      <c r="CD5" s="422" t="s">
        <v>46</v>
      </c>
      <c r="CE5" s="30" t="s">
        <v>1065</v>
      </c>
      <c r="CF5" s="65" t="s">
        <v>45</v>
      </c>
      <c r="CG5" s="422" t="s">
        <v>46</v>
      </c>
      <c r="CH5" s="30" t="s">
        <v>1065</v>
      </c>
      <c r="CI5" s="65" t="s">
        <v>45</v>
      </c>
      <c r="CJ5" s="422" t="s">
        <v>46</v>
      </c>
      <c r="CK5" s="30" t="s">
        <v>1065</v>
      </c>
      <c r="CL5" s="65" t="s">
        <v>45</v>
      </c>
      <c r="CM5" s="422" t="s">
        <v>46</v>
      </c>
      <c r="CN5" s="30" t="s">
        <v>1065</v>
      </c>
      <c r="CO5" s="65" t="s">
        <v>45</v>
      </c>
      <c r="CP5" s="422" t="s">
        <v>46</v>
      </c>
      <c r="CQ5" s="30" t="s">
        <v>1065</v>
      </c>
      <c r="CR5" s="65" t="s">
        <v>45</v>
      </c>
      <c r="CS5" s="422" t="s">
        <v>46</v>
      </c>
      <c r="CT5" s="30" t="s">
        <v>1065</v>
      </c>
      <c r="CU5" s="65" t="s">
        <v>45</v>
      </c>
      <c r="CV5" s="422" t="s">
        <v>46</v>
      </c>
      <c r="CW5" s="30" t="s">
        <v>1065</v>
      </c>
      <c r="CX5" s="65" t="s">
        <v>45</v>
      </c>
      <c r="CY5" s="422" t="s">
        <v>46</v>
      </c>
      <c r="CZ5" s="30" t="s">
        <v>1065</v>
      </c>
      <c r="DA5" s="65" t="s">
        <v>45</v>
      </c>
      <c r="DB5" s="422" t="s">
        <v>46</v>
      </c>
      <c r="DC5" s="30" t="s">
        <v>1065</v>
      </c>
      <c r="DD5" s="65" t="s">
        <v>45</v>
      </c>
      <c r="DE5" s="422" t="s">
        <v>46</v>
      </c>
    </row>
    <row r="6" spans="1:109" x14ac:dyDescent="0.25">
      <c r="A6" s="759" cm="1">
        <f t="array" ref="A6:A36">BaselineRow</f>
        <v>1997</v>
      </c>
      <c r="B6" s="755">
        <f t="shared" ref="B6:B26" si="24">B$36</f>
        <v>2.7</v>
      </c>
      <c r="C6" s="756">
        <f t="shared" ref="C6:C25" si="25">3.517/B6</f>
        <v>1.3025925925925925</v>
      </c>
      <c r="D6" s="757">
        <f t="shared" ref="D6:D36" si="26">C6</f>
        <v>1.3025925925925925</v>
      </c>
      <c r="E6" s="755">
        <f t="shared" ref="E6:E14" si="27">E$36</f>
        <v>2.58</v>
      </c>
      <c r="F6" s="756">
        <f t="shared" ref="F6" si="28">3.517/E6</f>
        <v>1.3631782945736433</v>
      </c>
      <c r="G6" s="757">
        <f t="shared" ref="G6:G36" si="29">F6</f>
        <v>1.3631782945736433</v>
      </c>
      <c r="H6" s="755">
        <f t="shared" ref="H6:H14" si="30">H$36</f>
        <v>2.36</v>
      </c>
      <c r="I6" s="756">
        <f t="shared" ref="I6" si="31">3.517/H6</f>
        <v>1.4902542372881356</v>
      </c>
      <c r="J6" s="757">
        <f t="shared" ref="J6:J36" si="32">I6</f>
        <v>1.4902542372881356</v>
      </c>
      <c r="K6" s="755">
        <f t="shared" ref="K6:K14" si="33">K$36</f>
        <v>2.82</v>
      </c>
      <c r="L6" s="756">
        <f t="shared" ref="L6" si="34">3.517/K6</f>
        <v>1.2471631205673759</v>
      </c>
      <c r="M6" s="757">
        <f t="shared" ref="M6:M36" si="35">L6</f>
        <v>1.2471631205673759</v>
      </c>
      <c r="N6" s="755">
        <f t="shared" ref="N6:N14" si="36">N$36</f>
        <v>2.73</v>
      </c>
      <c r="O6" s="756">
        <f t="shared" ref="O6" si="37">3.517/N6</f>
        <v>1.2882783882783881</v>
      </c>
      <c r="P6" s="757">
        <f t="shared" ref="P6:P36" si="38">O6</f>
        <v>1.2882783882783881</v>
      </c>
      <c r="Q6" s="755">
        <f t="shared" ref="Q6:Q14" si="39">Q$36</f>
        <v>2.67</v>
      </c>
      <c r="R6" s="756">
        <f t="shared" ref="R6" si="40">3.517/Q6</f>
        <v>1.3172284644194756</v>
      </c>
      <c r="S6" s="757">
        <f t="shared" ref="S6:S36" si="41">R6</f>
        <v>1.3172284644194756</v>
      </c>
      <c r="T6" s="755">
        <f t="shared" ref="T6:T14" si="42">T$36</f>
        <v>2.75</v>
      </c>
      <c r="U6" s="756">
        <f t="shared" ref="U6" si="43">3.517/T6</f>
        <v>1.2789090909090908</v>
      </c>
      <c r="V6" s="757">
        <f t="shared" ref="V6:V36" si="44">U6</f>
        <v>1.2789090909090908</v>
      </c>
      <c r="W6" s="755">
        <f t="shared" ref="W6:W14" si="45">W$36</f>
        <v>2.66</v>
      </c>
      <c r="X6" s="756">
        <f t="shared" ref="X6" si="46">3.517/W6</f>
        <v>1.3221804511278195</v>
      </c>
      <c r="Y6" s="757">
        <f t="shared" ref="Y6:Y36" si="47">X6</f>
        <v>1.3221804511278195</v>
      </c>
      <c r="Z6" s="755">
        <f t="shared" ref="Z6:Z14" si="48">Z$36</f>
        <v>2.6</v>
      </c>
      <c r="AA6" s="756">
        <f t="shared" ref="AA6" si="49">3.517/Z6</f>
        <v>1.3526923076923076</v>
      </c>
      <c r="AB6" s="757">
        <f t="shared" ref="AB6:AB36" si="50">AA6</f>
        <v>1.3526923076923076</v>
      </c>
      <c r="AC6" s="755">
        <f t="shared" ref="AC6:AC14" si="51">AC$36</f>
        <v>2.56</v>
      </c>
      <c r="AD6" s="756">
        <f t="shared" ref="AD6" si="52">3.517/AC6</f>
        <v>1.373828125</v>
      </c>
      <c r="AE6" s="757">
        <f t="shared" ref="AE6:AE36" si="53">AD6</f>
        <v>1.373828125</v>
      </c>
      <c r="AF6" s="755">
        <f t="shared" ref="AF6:AF13" si="54">AF$36</f>
        <v>2.2400000000000002</v>
      </c>
      <c r="AG6" s="756">
        <f t="shared" ref="AG6" si="55">3.517/AF6</f>
        <v>1.5700892857142856</v>
      </c>
      <c r="AH6" s="757">
        <f t="shared" ref="AH6:AH36" si="56">AG6</f>
        <v>1.5700892857142856</v>
      </c>
      <c r="AI6" s="755">
        <f t="shared" ref="AI6:AI13" si="57">AI$36</f>
        <v>2.21</v>
      </c>
      <c r="AJ6" s="756">
        <f t="shared" ref="AJ6" si="58">3.517/AI6</f>
        <v>1.5914027149321266</v>
      </c>
      <c r="AK6" s="757">
        <f t="shared" ref="AK6:AK36" si="59">AJ6</f>
        <v>1.5914027149321266</v>
      </c>
      <c r="AL6" s="755">
        <f t="shared" ref="AL6:AL13" si="60">AL$36</f>
        <v>2.16</v>
      </c>
      <c r="AM6" s="756">
        <f t="shared" ref="AM6" si="61">3.517/AL6</f>
        <v>1.6282407407407407</v>
      </c>
      <c r="AN6" s="757">
        <f t="shared" ref="AN6:AN36" si="62">AM6</f>
        <v>1.6282407407407407</v>
      </c>
      <c r="AO6" s="755">
        <f t="shared" ref="AO6:AO13" si="63">AO$36</f>
        <v>2.04</v>
      </c>
      <c r="AP6" s="756">
        <f t="shared" ref="AP6" si="64">3.517/AO6</f>
        <v>1.7240196078431371</v>
      </c>
      <c r="AQ6" s="757">
        <f t="shared" ref="AQ6:AQ36" si="65">AP6</f>
        <v>1.7240196078431371</v>
      </c>
      <c r="AR6" s="755">
        <f t="shared" ref="AR6:AR13" si="66">AR$36</f>
        <v>1.79</v>
      </c>
      <c r="AS6" s="756">
        <f t="shared" ref="AS6" si="67">3.517/AR6</f>
        <v>1.964804469273743</v>
      </c>
      <c r="AT6" s="757">
        <f t="shared" ref="AT6:AT36" si="68">AS6</f>
        <v>1.964804469273743</v>
      </c>
      <c r="AU6" s="755">
        <f t="shared" ref="AU6:AU13" si="69">AU$36</f>
        <v>2.4300000000000002</v>
      </c>
      <c r="AV6" s="756">
        <f t="shared" ref="AV6" si="70">3.517/AU6</f>
        <v>1.4473251028806584</v>
      </c>
      <c r="AW6" s="757">
        <f t="shared" ref="AW6:AW36" si="71">AV6</f>
        <v>1.4473251028806584</v>
      </c>
      <c r="AX6" s="755">
        <f t="shared" ref="AX6:AX13" si="72">AX$36</f>
        <v>2.3199999999999998</v>
      </c>
      <c r="AY6" s="756">
        <f t="shared" ref="AY6" si="73">3.517/AX6</f>
        <v>1.515948275862069</v>
      </c>
      <c r="AZ6" s="757">
        <f t="shared" ref="AZ6:AZ36" si="74">AY6</f>
        <v>1.515948275862069</v>
      </c>
      <c r="BA6" s="755">
        <f t="shared" ref="BA6:BA13" si="75">BA$36</f>
        <v>2.2000000000000002</v>
      </c>
      <c r="BB6" s="756">
        <f t="shared" ref="BB6" si="76">3.517/BA6</f>
        <v>1.5986363636363634</v>
      </c>
      <c r="BC6" s="757">
        <f t="shared" ref="BC6:BC36" si="77">BB6</f>
        <v>1.5986363636363634</v>
      </c>
      <c r="BD6" s="755">
        <f t="shared" ref="BD6:BD13" si="78">BD$36</f>
        <v>2.39</v>
      </c>
      <c r="BE6" s="756">
        <f t="shared" ref="BE6" si="79">3.517/BD6</f>
        <v>1.4715481171548117</v>
      </c>
      <c r="BF6" s="757">
        <f t="shared" ref="BF6:BF36" si="80">BE6</f>
        <v>1.4715481171548117</v>
      </c>
      <c r="BG6" s="755">
        <f t="shared" ref="BG6:BG13" si="81">BG$36</f>
        <v>2.2599999999999998</v>
      </c>
      <c r="BH6" s="756">
        <f t="shared" ref="BH6" si="82">3.517/BG6</f>
        <v>1.5561946902654868</v>
      </c>
      <c r="BI6" s="757">
        <f t="shared" ref="BI6:BI36" si="83">BH6</f>
        <v>1.5561946902654868</v>
      </c>
      <c r="BJ6" s="755">
        <f t="shared" ref="BJ6:BJ13" si="84">BJ$36</f>
        <v>2.15</v>
      </c>
      <c r="BK6" s="756">
        <f t="shared" ref="BK6" si="85">3.517/BJ6</f>
        <v>1.6358139534883722</v>
      </c>
      <c r="BL6" s="757">
        <f t="shared" ref="BL6:BL36" si="86">BK6</f>
        <v>1.6358139534883722</v>
      </c>
      <c r="BM6" s="755">
        <f t="shared" ref="BM6:BM13" si="87">BM$36</f>
        <v>2.2200000000000002</v>
      </c>
      <c r="BN6" s="756">
        <f t="shared" ref="BN6" si="88">3.517/BM6</f>
        <v>1.5842342342342342</v>
      </c>
      <c r="BO6" s="757">
        <f t="shared" ref="BO6:BO36" si="89">BN6</f>
        <v>1.5842342342342342</v>
      </c>
      <c r="BP6" s="755">
        <f t="shared" ref="BP6:BP13" si="90">BP$36</f>
        <v>1.89</v>
      </c>
      <c r="BQ6" s="756">
        <f t="shared" ref="BQ6" si="91">3.517/BP6</f>
        <v>1.860846560846561</v>
      </c>
      <c r="BR6" s="757">
        <f t="shared" ref="BR6:BR36" si="92">BQ6</f>
        <v>1.860846560846561</v>
      </c>
      <c r="BS6" s="755">
        <f t="shared" ref="BS6:BS18" si="93">BS$36</f>
        <v>1.85</v>
      </c>
      <c r="BT6" s="756">
        <f t="shared" ref="BT6" si="94">3.517/BS6</f>
        <v>1.901081081081081</v>
      </c>
      <c r="BU6" s="757">
        <f t="shared" ref="BU6:BU36" si="95">BT6</f>
        <v>1.901081081081081</v>
      </c>
      <c r="BV6" s="755">
        <v>2.7</v>
      </c>
      <c r="BW6" s="756">
        <v>1.3025925925925901</v>
      </c>
      <c r="BX6" s="757">
        <v>1.3025925925925901</v>
      </c>
      <c r="BY6" s="755">
        <v>2.58</v>
      </c>
      <c r="BZ6" s="756">
        <v>1.3631782945736399</v>
      </c>
      <c r="CA6" s="757">
        <v>1.3631782945736399</v>
      </c>
      <c r="CB6" s="755">
        <v>2.36</v>
      </c>
      <c r="CC6" s="756">
        <v>1.49025423728814</v>
      </c>
      <c r="CD6" s="757">
        <v>1.49025423728814</v>
      </c>
      <c r="CE6" s="755">
        <v>2.16</v>
      </c>
      <c r="CF6" s="756">
        <v>1.62824074074074</v>
      </c>
      <c r="CG6" s="757">
        <v>1.62824074074074</v>
      </c>
      <c r="CH6" s="755">
        <v>2.04</v>
      </c>
      <c r="CI6" s="756">
        <v>1.72401960784314</v>
      </c>
      <c r="CJ6" s="757">
        <v>1.72401960784314</v>
      </c>
      <c r="CK6" s="755">
        <v>1.79</v>
      </c>
      <c r="CL6" s="756">
        <v>1.9648044692737401</v>
      </c>
      <c r="CM6" s="757">
        <v>1.9648044692737401</v>
      </c>
      <c r="CN6" s="755">
        <v>2.56</v>
      </c>
      <c r="CO6" s="756">
        <v>1.373828125</v>
      </c>
      <c r="CP6" s="757">
        <v>1.373828125</v>
      </c>
      <c r="CQ6" s="755">
        <v>2.2400000000000002</v>
      </c>
      <c r="CR6" s="756">
        <v>1.5700892857142901</v>
      </c>
      <c r="CS6" s="757">
        <v>1.5700892857142901</v>
      </c>
      <c r="CT6" s="755">
        <v>2.21</v>
      </c>
      <c r="CU6" s="756">
        <v>1.5914027149321299</v>
      </c>
      <c r="CV6" s="757">
        <v>1.5914027149321299</v>
      </c>
      <c r="CW6" s="755">
        <v>2.2200000000000002</v>
      </c>
      <c r="CX6" s="756">
        <v>1.5842342342342299</v>
      </c>
      <c r="CY6" s="757">
        <v>1.5842342342342299</v>
      </c>
      <c r="CZ6" s="755">
        <v>1.89</v>
      </c>
      <c r="DA6" s="756">
        <v>1.8608465608465601</v>
      </c>
      <c r="DB6" s="757">
        <v>1.8608465608465601</v>
      </c>
      <c r="DC6" s="755">
        <v>1.89</v>
      </c>
      <c r="DD6" s="756">
        <v>1.8608465608465601</v>
      </c>
      <c r="DE6" s="757">
        <v>1.8608465608465601</v>
      </c>
    </row>
    <row r="7" spans="1:109" x14ac:dyDescent="0.25">
      <c r="A7" s="759">
        <v>1998</v>
      </c>
      <c r="B7" s="755">
        <f t="shared" si="24"/>
        <v>2.7</v>
      </c>
      <c r="C7" s="756">
        <f t="shared" si="25"/>
        <v>1.3025925925925925</v>
      </c>
      <c r="D7" s="757">
        <f t="shared" si="26"/>
        <v>1.3025925925925925</v>
      </c>
      <c r="E7" s="755">
        <f t="shared" si="27"/>
        <v>2.58</v>
      </c>
      <c r="F7" s="756">
        <f t="shared" ref="F7" si="96">3.517/E7</f>
        <v>1.3631782945736433</v>
      </c>
      <c r="G7" s="757">
        <f t="shared" si="29"/>
        <v>1.3631782945736433</v>
      </c>
      <c r="H7" s="755">
        <f t="shared" si="30"/>
        <v>2.36</v>
      </c>
      <c r="I7" s="756">
        <f t="shared" ref="I7" si="97">3.517/H7</f>
        <v>1.4902542372881356</v>
      </c>
      <c r="J7" s="757">
        <f t="shared" si="32"/>
        <v>1.4902542372881356</v>
      </c>
      <c r="K7" s="755">
        <f t="shared" si="33"/>
        <v>2.82</v>
      </c>
      <c r="L7" s="756">
        <f t="shared" ref="L7" si="98">3.517/K7</f>
        <v>1.2471631205673759</v>
      </c>
      <c r="M7" s="757">
        <f t="shared" si="35"/>
        <v>1.2471631205673759</v>
      </c>
      <c r="N7" s="755">
        <f t="shared" si="36"/>
        <v>2.73</v>
      </c>
      <c r="O7" s="756">
        <f t="shared" ref="O7" si="99">3.517/N7</f>
        <v>1.2882783882783881</v>
      </c>
      <c r="P7" s="757">
        <f t="shared" si="38"/>
        <v>1.2882783882783881</v>
      </c>
      <c r="Q7" s="755">
        <f t="shared" si="39"/>
        <v>2.67</v>
      </c>
      <c r="R7" s="756">
        <f t="shared" ref="R7" si="100">3.517/Q7</f>
        <v>1.3172284644194756</v>
      </c>
      <c r="S7" s="757">
        <f t="shared" si="41"/>
        <v>1.3172284644194756</v>
      </c>
      <c r="T7" s="755">
        <f t="shared" si="42"/>
        <v>2.75</v>
      </c>
      <c r="U7" s="756">
        <f t="shared" ref="U7" si="101">3.517/T7</f>
        <v>1.2789090909090908</v>
      </c>
      <c r="V7" s="757">
        <f t="shared" si="44"/>
        <v>1.2789090909090908</v>
      </c>
      <c r="W7" s="755">
        <f t="shared" si="45"/>
        <v>2.66</v>
      </c>
      <c r="X7" s="756">
        <f t="shared" ref="X7" si="102">3.517/W7</f>
        <v>1.3221804511278195</v>
      </c>
      <c r="Y7" s="757">
        <f t="shared" si="47"/>
        <v>1.3221804511278195</v>
      </c>
      <c r="Z7" s="755">
        <f t="shared" si="48"/>
        <v>2.6</v>
      </c>
      <c r="AA7" s="756">
        <f t="shared" ref="AA7" si="103">3.517/Z7</f>
        <v>1.3526923076923076</v>
      </c>
      <c r="AB7" s="757">
        <f t="shared" si="50"/>
        <v>1.3526923076923076</v>
      </c>
      <c r="AC7" s="755">
        <f t="shared" si="51"/>
        <v>2.56</v>
      </c>
      <c r="AD7" s="756">
        <f t="shared" ref="AD7" si="104">3.517/AC7</f>
        <v>1.373828125</v>
      </c>
      <c r="AE7" s="757">
        <f t="shared" si="53"/>
        <v>1.373828125</v>
      </c>
      <c r="AF7" s="755">
        <f t="shared" si="54"/>
        <v>2.2400000000000002</v>
      </c>
      <c r="AG7" s="756">
        <f t="shared" ref="AG7" si="105">3.517/AF7</f>
        <v>1.5700892857142856</v>
      </c>
      <c r="AH7" s="757">
        <f t="shared" si="56"/>
        <v>1.5700892857142856</v>
      </c>
      <c r="AI7" s="755">
        <f t="shared" si="57"/>
        <v>2.21</v>
      </c>
      <c r="AJ7" s="756">
        <f t="shared" ref="AJ7" si="106">3.517/AI7</f>
        <v>1.5914027149321266</v>
      </c>
      <c r="AK7" s="757">
        <f t="shared" si="59"/>
        <v>1.5914027149321266</v>
      </c>
      <c r="AL7" s="755">
        <f t="shared" si="60"/>
        <v>2.16</v>
      </c>
      <c r="AM7" s="756">
        <f t="shared" ref="AM7" si="107">3.517/AL7</f>
        <v>1.6282407407407407</v>
      </c>
      <c r="AN7" s="757">
        <f t="shared" si="62"/>
        <v>1.6282407407407407</v>
      </c>
      <c r="AO7" s="755">
        <f t="shared" si="63"/>
        <v>2.04</v>
      </c>
      <c r="AP7" s="756">
        <f t="shared" ref="AP7" si="108">3.517/AO7</f>
        <v>1.7240196078431371</v>
      </c>
      <c r="AQ7" s="757">
        <f t="shared" si="65"/>
        <v>1.7240196078431371</v>
      </c>
      <c r="AR7" s="755">
        <f t="shared" si="66"/>
        <v>1.79</v>
      </c>
      <c r="AS7" s="756">
        <f t="shared" ref="AS7" si="109">3.517/AR7</f>
        <v>1.964804469273743</v>
      </c>
      <c r="AT7" s="757">
        <f t="shared" si="68"/>
        <v>1.964804469273743</v>
      </c>
      <c r="AU7" s="755">
        <f t="shared" si="69"/>
        <v>2.4300000000000002</v>
      </c>
      <c r="AV7" s="756">
        <f t="shared" ref="AV7" si="110">3.517/AU7</f>
        <v>1.4473251028806584</v>
      </c>
      <c r="AW7" s="757">
        <f t="shared" si="71"/>
        <v>1.4473251028806584</v>
      </c>
      <c r="AX7" s="755">
        <f t="shared" si="72"/>
        <v>2.3199999999999998</v>
      </c>
      <c r="AY7" s="756">
        <f t="shared" ref="AY7" si="111">3.517/AX7</f>
        <v>1.515948275862069</v>
      </c>
      <c r="AZ7" s="757">
        <f t="shared" si="74"/>
        <v>1.515948275862069</v>
      </c>
      <c r="BA7" s="755">
        <f t="shared" si="75"/>
        <v>2.2000000000000002</v>
      </c>
      <c r="BB7" s="756">
        <f t="shared" ref="BB7" si="112">3.517/BA7</f>
        <v>1.5986363636363634</v>
      </c>
      <c r="BC7" s="757">
        <f t="shared" si="77"/>
        <v>1.5986363636363634</v>
      </c>
      <c r="BD7" s="755">
        <f t="shared" si="78"/>
        <v>2.39</v>
      </c>
      <c r="BE7" s="756">
        <f t="shared" ref="BE7" si="113">3.517/BD7</f>
        <v>1.4715481171548117</v>
      </c>
      <c r="BF7" s="757">
        <f t="shared" si="80"/>
        <v>1.4715481171548117</v>
      </c>
      <c r="BG7" s="755">
        <f t="shared" si="81"/>
        <v>2.2599999999999998</v>
      </c>
      <c r="BH7" s="756">
        <f t="shared" ref="BH7" si="114">3.517/BG7</f>
        <v>1.5561946902654868</v>
      </c>
      <c r="BI7" s="757">
        <f t="shared" si="83"/>
        <v>1.5561946902654868</v>
      </c>
      <c r="BJ7" s="755">
        <f t="shared" si="84"/>
        <v>2.15</v>
      </c>
      <c r="BK7" s="756">
        <f t="shared" ref="BK7" si="115">3.517/BJ7</f>
        <v>1.6358139534883722</v>
      </c>
      <c r="BL7" s="757">
        <f t="shared" si="86"/>
        <v>1.6358139534883722</v>
      </c>
      <c r="BM7" s="755">
        <f t="shared" si="87"/>
        <v>2.2200000000000002</v>
      </c>
      <c r="BN7" s="756">
        <f t="shared" ref="BN7" si="116">3.517/BM7</f>
        <v>1.5842342342342342</v>
      </c>
      <c r="BO7" s="757">
        <f t="shared" si="89"/>
        <v>1.5842342342342342</v>
      </c>
      <c r="BP7" s="755">
        <f t="shared" si="90"/>
        <v>1.89</v>
      </c>
      <c r="BQ7" s="756">
        <f t="shared" ref="BQ7" si="117">3.517/BP7</f>
        <v>1.860846560846561</v>
      </c>
      <c r="BR7" s="757">
        <f t="shared" si="92"/>
        <v>1.860846560846561</v>
      </c>
      <c r="BS7" s="755">
        <f t="shared" si="93"/>
        <v>1.85</v>
      </c>
      <c r="BT7" s="756">
        <f t="shared" ref="BT7" si="118">3.517/BS7</f>
        <v>1.901081081081081</v>
      </c>
      <c r="BU7" s="757">
        <f t="shared" si="95"/>
        <v>1.901081081081081</v>
      </c>
      <c r="BV7" s="755">
        <v>2.7</v>
      </c>
      <c r="BW7" s="756">
        <v>1.3025925925925901</v>
      </c>
      <c r="BX7" s="757">
        <v>1.3025925925925901</v>
      </c>
      <c r="BY7" s="755">
        <v>2.58</v>
      </c>
      <c r="BZ7" s="756">
        <v>1.3631782945736399</v>
      </c>
      <c r="CA7" s="757">
        <v>1.3631782945736399</v>
      </c>
      <c r="CB7" s="755">
        <v>2.36</v>
      </c>
      <c r="CC7" s="756">
        <v>1.49025423728814</v>
      </c>
      <c r="CD7" s="757">
        <v>1.49025423728814</v>
      </c>
      <c r="CE7" s="755">
        <v>2.16</v>
      </c>
      <c r="CF7" s="756">
        <v>1.62824074074074</v>
      </c>
      <c r="CG7" s="757">
        <v>1.62824074074074</v>
      </c>
      <c r="CH7" s="755">
        <v>2.04</v>
      </c>
      <c r="CI7" s="756">
        <v>1.72401960784314</v>
      </c>
      <c r="CJ7" s="757">
        <v>1.72401960784314</v>
      </c>
      <c r="CK7" s="755">
        <v>1.79</v>
      </c>
      <c r="CL7" s="756">
        <v>1.9648044692737401</v>
      </c>
      <c r="CM7" s="757">
        <v>1.9648044692737401</v>
      </c>
      <c r="CN7" s="755">
        <v>2.56</v>
      </c>
      <c r="CO7" s="756">
        <v>1.373828125</v>
      </c>
      <c r="CP7" s="757">
        <v>1.373828125</v>
      </c>
      <c r="CQ7" s="755">
        <v>2.2400000000000002</v>
      </c>
      <c r="CR7" s="756">
        <v>1.5700892857142901</v>
      </c>
      <c r="CS7" s="757">
        <v>1.5700892857142901</v>
      </c>
      <c r="CT7" s="755">
        <v>2.21</v>
      </c>
      <c r="CU7" s="756">
        <v>1.5914027149321299</v>
      </c>
      <c r="CV7" s="757">
        <v>1.5914027149321299</v>
      </c>
      <c r="CW7" s="755">
        <v>2.2200000000000002</v>
      </c>
      <c r="CX7" s="756">
        <v>1.5842342342342299</v>
      </c>
      <c r="CY7" s="757">
        <v>1.5842342342342299</v>
      </c>
      <c r="CZ7" s="755">
        <v>1.89</v>
      </c>
      <c r="DA7" s="756">
        <v>1.8608465608465601</v>
      </c>
      <c r="DB7" s="757">
        <v>1.8608465608465601</v>
      </c>
      <c r="DC7" s="755">
        <v>1.89</v>
      </c>
      <c r="DD7" s="756">
        <v>1.8608465608465601</v>
      </c>
      <c r="DE7" s="757">
        <v>1.8608465608465601</v>
      </c>
    </row>
    <row r="8" spans="1:109" x14ac:dyDescent="0.25">
      <c r="A8" s="759">
        <v>1999</v>
      </c>
      <c r="B8" s="755">
        <f t="shared" si="24"/>
        <v>2.7</v>
      </c>
      <c r="C8" s="756">
        <f t="shared" si="25"/>
        <v>1.3025925925925925</v>
      </c>
      <c r="D8" s="757">
        <f t="shared" si="26"/>
        <v>1.3025925925925925</v>
      </c>
      <c r="E8" s="755">
        <f t="shared" si="27"/>
        <v>2.58</v>
      </c>
      <c r="F8" s="756">
        <f t="shared" ref="F8" si="119">3.517/E8</f>
        <v>1.3631782945736433</v>
      </c>
      <c r="G8" s="757">
        <f t="shared" si="29"/>
        <v>1.3631782945736433</v>
      </c>
      <c r="H8" s="755">
        <f t="shared" si="30"/>
        <v>2.36</v>
      </c>
      <c r="I8" s="756">
        <f t="shared" ref="I8" si="120">3.517/H8</f>
        <v>1.4902542372881356</v>
      </c>
      <c r="J8" s="757">
        <f t="shared" si="32"/>
        <v>1.4902542372881356</v>
      </c>
      <c r="K8" s="755">
        <f t="shared" si="33"/>
        <v>2.82</v>
      </c>
      <c r="L8" s="756">
        <f t="shared" ref="L8" si="121">3.517/K8</f>
        <v>1.2471631205673759</v>
      </c>
      <c r="M8" s="757">
        <f t="shared" si="35"/>
        <v>1.2471631205673759</v>
      </c>
      <c r="N8" s="755">
        <f t="shared" si="36"/>
        <v>2.73</v>
      </c>
      <c r="O8" s="756">
        <f t="shared" ref="O8" si="122">3.517/N8</f>
        <v>1.2882783882783881</v>
      </c>
      <c r="P8" s="757">
        <f t="shared" si="38"/>
        <v>1.2882783882783881</v>
      </c>
      <c r="Q8" s="755">
        <f t="shared" si="39"/>
        <v>2.67</v>
      </c>
      <c r="R8" s="756">
        <f t="shared" ref="R8" si="123">3.517/Q8</f>
        <v>1.3172284644194756</v>
      </c>
      <c r="S8" s="757">
        <f t="shared" si="41"/>
        <v>1.3172284644194756</v>
      </c>
      <c r="T8" s="755">
        <f t="shared" si="42"/>
        <v>2.75</v>
      </c>
      <c r="U8" s="756">
        <f t="shared" ref="U8" si="124">3.517/T8</f>
        <v>1.2789090909090908</v>
      </c>
      <c r="V8" s="757">
        <f t="shared" si="44"/>
        <v>1.2789090909090908</v>
      </c>
      <c r="W8" s="755">
        <f t="shared" si="45"/>
        <v>2.66</v>
      </c>
      <c r="X8" s="756">
        <f t="shared" ref="X8" si="125">3.517/W8</f>
        <v>1.3221804511278195</v>
      </c>
      <c r="Y8" s="757">
        <f t="shared" si="47"/>
        <v>1.3221804511278195</v>
      </c>
      <c r="Z8" s="755">
        <f t="shared" si="48"/>
        <v>2.6</v>
      </c>
      <c r="AA8" s="756">
        <f t="shared" ref="AA8" si="126">3.517/Z8</f>
        <v>1.3526923076923076</v>
      </c>
      <c r="AB8" s="757">
        <f t="shared" si="50"/>
        <v>1.3526923076923076</v>
      </c>
      <c r="AC8" s="755">
        <f t="shared" si="51"/>
        <v>2.56</v>
      </c>
      <c r="AD8" s="756">
        <f t="shared" ref="AD8" si="127">3.517/AC8</f>
        <v>1.373828125</v>
      </c>
      <c r="AE8" s="757">
        <f t="shared" si="53"/>
        <v>1.373828125</v>
      </c>
      <c r="AF8" s="755">
        <f t="shared" si="54"/>
        <v>2.2400000000000002</v>
      </c>
      <c r="AG8" s="756">
        <f t="shared" ref="AG8" si="128">3.517/AF8</f>
        <v>1.5700892857142856</v>
      </c>
      <c r="AH8" s="757">
        <f t="shared" si="56"/>
        <v>1.5700892857142856</v>
      </c>
      <c r="AI8" s="755">
        <f t="shared" si="57"/>
        <v>2.21</v>
      </c>
      <c r="AJ8" s="756">
        <f t="shared" ref="AJ8" si="129">3.517/AI8</f>
        <v>1.5914027149321266</v>
      </c>
      <c r="AK8" s="757">
        <f t="shared" si="59"/>
        <v>1.5914027149321266</v>
      </c>
      <c r="AL8" s="755">
        <f t="shared" si="60"/>
        <v>2.16</v>
      </c>
      <c r="AM8" s="756">
        <f t="shared" ref="AM8" si="130">3.517/AL8</f>
        <v>1.6282407407407407</v>
      </c>
      <c r="AN8" s="757">
        <f t="shared" si="62"/>
        <v>1.6282407407407407</v>
      </c>
      <c r="AO8" s="755">
        <f t="shared" si="63"/>
        <v>2.04</v>
      </c>
      <c r="AP8" s="756">
        <f t="shared" ref="AP8" si="131">3.517/AO8</f>
        <v>1.7240196078431371</v>
      </c>
      <c r="AQ8" s="757">
        <f t="shared" si="65"/>
        <v>1.7240196078431371</v>
      </c>
      <c r="AR8" s="755">
        <f t="shared" si="66"/>
        <v>1.79</v>
      </c>
      <c r="AS8" s="756">
        <f t="shared" ref="AS8" si="132">3.517/AR8</f>
        <v>1.964804469273743</v>
      </c>
      <c r="AT8" s="757">
        <f t="shared" si="68"/>
        <v>1.964804469273743</v>
      </c>
      <c r="AU8" s="755">
        <f t="shared" si="69"/>
        <v>2.4300000000000002</v>
      </c>
      <c r="AV8" s="756">
        <f t="shared" ref="AV8" si="133">3.517/AU8</f>
        <v>1.4473251028806584</v>
      </c>
      <c r="AW8" s="757">
        <f t="shared" si="71"/>
        <v>1.4473251028806584</v>
      </c>
      <c r="AX8" s="755">
        <f t="shared" si="72"/>
        <v>2.3199999999999998</v>
      </c>
      <c r="AY8" s="756">
        <f t="shared" ref="AY8" si="134">3.517/AX8</f>
        <v>1.515948275862069</v>
      </c>
      <c r="AZ8" s="757">
        <f t="shared" si="74"/>
        <v>1.515948275862069</v>
      </c>
      <c r="BA8" s="755">
        <f t="shared" si="75"/>
        <v>2.2000000000000002</v>
      </c>
      <c r="BB8" s="756">
        <f t="shared" ref="BB8" si="135">3.517/BA8</f>
        <v>1.5986363636363634</v>
      </c>
      <c r="BC8" s="757">
        <f t="shared" si="77"/>
        <v>1.5986363636363634</v>
      </c>
      <c r="BD8" s="755">
        <f t="shared" si="78"/>
        <v>2.39</v>
      </c>
      <c r="BE8" s="756">
        <f t="shared" ref="BE8" si="136">3.517/BD8</f>
        <v>1.4715481171548117</v>
      </c>
      <c r="BF8" s="757">
        <f t="shared" si="80"/>
        <v>1.4715481171548117</v>
      </c>
      <c r="BG8" s="755">
        <f t="shared" si="81"/>
        <v>2.2599999999999998</v>
      </c>
      <c r="BH8" s="756">
        <f t="shared" ref="BH8" si="137">3.517/BG8</f>
        <v>1.5561946902654868</v>
      </c>
      <c r="BI8" s="757">
        <f t="shared" si="83"/>
        <v>1.5561946902654868</v>
      </c>
      <c r="BJ8" s="755">
        <f t="shared" si="84"/>
        <v>2.15</v>
      </c>
      <c r="BK8" s="756">
        <f t="shared" ref="BK8" si="138">3.517/BJ8</f>
        <v>1.6358139534883722</v>
      </c>
      <c r="BL8" s="757">
        <f t="shared" si="86"/>
        <v>1.6358139534883722</v>
      </c>
      <c r="BM8" s="755">
        <f t="shared" si="87"/>
        <v>2.2200000000000002</v>
      </c>
      <c r="BN8" s="756">
        <f t="shared" ref="BN8" si="139">3.517/BM8</f>
        <v>1.5842342342342342</v>
      </c>
      <c r="BO8" s="757">
        <f t="shared" si="89"/>
        <v>1.5842342342342342</v>
      </c>
      <c r="BP8" s="755">
        <f t="shared" si="90"/>
        <v>1.89</v>
      </c>
      <c r="BQ8" s="756">
        <f t="shared" ref="BQ8" si="140">3.517/BP8</f>
        <v>1.860846560846561</v>
      </c>
      <c r="BR8" s="757">
        <f t="shared" si="92"/>
        <v>1.860846560846561</v>
      </c>
      <c r="BS8" s="755">
        <f t="shared" si="93"/>
        <v>1.85</v>
      </c>
      <c r="BT8" s="756">
        <f t="shared" ref="BT8" si="141">3.517/BS8</f>
        <v>1.901081081081081</v>
      </c>
      <c r="BU8" s="757">
        <f t="shared" si="95"/>
        <v>1.901081081081081</v>
      </c>
      <c r="BV8" s="755">
        <v>2.7</v>
      </c>
      <c r="BW8" s="756">
        <v>1.3025925925925901</v>
      </c>
      <c r="BX8" s="757">
        <v>1.3025925925925901</v>
      </c>
      <c r="BY8" s="755">
        <v>2.58</v>
      </c>
      <c r="BZ8" s="756">
        <v>1.3631782945736399</v>
      </c>
      <c r="CA8" s="757">
        <v>1.3631782945736399</v>
      </c>
      <c r="CB8" s="755">
        <v>2.36</v>
      </c>
      <c r="CC8" s="756">
        <v>1.49025423728814</v>
      </c>
      <c r="CD8" s="757">
        <v>1.49025423728814</v>
      </c>
      <c r="CE8" s="755">
        <v>2.16</v>
      </c>
      <c r="CF8" s="756">
        <v>1.62824074074074</v>
      </c>
      <c r="CG8" s="757">
        <v>1.62824074074074</v>
      </c>
      <c r="CH8" s="755">
        <v>2.04</v>
      </c>
      <c r="CI8" s="756">
        <v>1.72401960784314</v>
      </c>
      <c r="CJ8" s="757">
        <v>1.72401960784314</v>
      </c>
      <c r="CK8" s="755">
        <v>1.79</v>
      </c>
      <c r="CL8" s="756">
        <v>1.9648044692737401</v>
      </c>
      <c r="CM8" s="757">
        <v>1.9648044692737401</v>
      </c>
      <c r="CN8" s="755">
        <v>2.56</v>
      </c>
      <c r="CO8" s="756">
        <v>1.373828125</v>
      </c>
      <c r="CP8" s="757">
        <v>1.373828125</v>
      </c>
      <c r="CQ8" s="755">
        <v>2.2400000000000002</v>
      </c>
      <c r="CR8" s="756">
        <v>1.5700892857142901</v>
      </c>
      <c r="CS8" s="757">
        <v>1.5700892857142901</v>
      </c>
      <c r="CT8" s="755">
        <v>2.21</v>
      </c>
      <c r="CU8" s="756">
        <v>1.5914027149321299</v>
      </c>
      <c r="CV8" s="757">
        <v>1.5914027149321299</v>
      </c>
      <c r="CW8" s="755">
        <v>2.2200000000000002</v>
      </c>
      <c r="CX8" s="756">
        <v>1.5842342342342299</v>
      </c>
      <c r="CY8" s="757">
        <v>1.5842342342342299</v>
      </c>
      <c r="CZ8" s="755">
        <v>1.89</v>
      </c>
      <c r="DA8" s="756">
        <v>1.8608465608465601</v>
      </c>
      <c r="DB8" s="757">
        <v>1.8608465608465601</v>
      </c>
      <c r="DC8" s="755">
        <v>1.89</v>
      </c>
      <c r="DD8" s="756">
        <v>1.8608465608465601</v>
      </c>
      <c r="DE8" s="757">
        <v>1.8608465608465601</v>
      </c>
    </row>
    <row r="9" spans="1:109" x14ac:dyDescent="0.25">
      <c r="A9" s="759">
        <v>2000</v>
      </c>
      <c r="B9" s="755">
        <f t="shared" si="24"/>
        <v>2.7</v>
      </c>
      <c r="C9" s="756">
        <f t="shared" si="25"/>
        <v>1.3025925925925925</v>
      </c>
      <c r="D9" s="757">
        <f t="shared" si="26"/>
        <v>1.3025925925925925</v>
      </c>
      <c r="E9" s="755">
        <f t="shared" si="27"/>
        <v>2.58</v>
      </c>
      <c r="F9" s="756">
        <f t="shared" ref="F9" si="142">3.517/E9</f>
        <v>1.3631782945736433</v>
      </c>
      <c r="G9" s="757">
        <f t="shared" si="29"/>
        <v>1.3631782945736433</v>
      </c>
      <c r="H9" s="755">
        <f t="shared" si="30"/>
        <v>2.36</v>
      </c>
      <c r="I9" s="756">
        <f t="shared" ref="I9" si="143">3.517/H9</f>
        <v>1.4902542372881356</v>
      </c>
      <c r="J9" s="757">
        <f t="shared" si="32"/>
        <v>1.4902542372881356</v>
      </c>
      <c r="K9" s="755">
        <f t="shared" si="33"/>
        <v>2.82</v>
      </c>
      <c r="L9" s="756">
        <f t="shared" ref="L9" si="144">3.517/K9</f>
        <v>1.2471631205673759</v>
      </c>
      <c r="M9" s="757">
        <f t="shared" si="35"/>
        <v>1.2471631205673759</v>
      </c>
      <c r="N9" s="755">
        <f t="shared" si="36"/>
        <v>2.73</v>
      </c>
      <c r="O9" s="756">
        <f t="shared" ref="O9" si="145">3.517/N9</f>
        <v>1.2882783882783881</v>
      </c>
      <c r="P9" s="757">
        <f t="shared" si="38"/>
        <v>1.2882783882783881</v>
      </c>
      <c r="Q9" s="755">
        <f t="shared" si="39"/>
        <v>2.67</v>
      </c>
      <c r="R9" s="756">
        <f t="shared" ref="R9" si="146">3.517/Q9</f>
        <v>1.3172284644194756</v>
      </c>
      <c r="S9" s="757">
        <f t="shared" si="41"/>
        <v>1.3172284644194756</v>
      </c>
      <c r="T9" s="755">
        <f t="shared" si="42"/>
        <v>2.75</v>
      </c>
      <c r="U9" s="756">
        <f t="shared" ref="U9" si="147">3.517/T9</f>
        <v>1.2789090909090908</v>
      </c>
      <c r="V9" s="757">
        <f t="shared" si="44"/>
        <v>1.2789090909090908</v>
      </c>
      <c r="W9" s="755">
        <f t="shared" si="45"/>
        <v>2.66</v>
      </c>
      <c r="X9" s="756">
        <f t="shared" ref="X9" si="148">3.517/W9</f>
        <v>1.3221804511278195</v>
      </c>
      <c r="Y9" s="757">
        <f t="shared" si="47"/>
        <v>1.3221804511278195</v>
      </c>
      <c r="Z9" s="755">
        <f t="shared" si="48"/>
        <v>2.6</v>
      </c>
      <c r="AA9" s="756">
        <f t="shared" ref="AA9" si="149">3.517/Z9</f>
        <v>1.3526923076923076</v>
      </c>
      <c r="AB9" s="757">
        <f t="shared" si="50"/>
        <v>1.3526923076923076</v>
      </c>
      <c r="AC9" s="755">
        <f t="shared" si="51"/>
        <v>2.56</v>
      </c>
      <c r="AD9" s="756">
        <f t="shared" ref="AD9" si="150">3.517/AC9</f>
        <v>1.373828125</v>
      </c>
      <c r="AE9" s="757">
        <f t="shared" si="53"/>
        <v>1.373828125</v>
      </c>
      <c r="AF9" s="755">
        <f t="shared" si="54"/>
        <v>2.2400000000000002</v>
      </c>
      <c r="AG9" s="756">
        <f t="shared" ref="AG9" si="151">3.517/AF9</f>
        <v>1.5700892857142856</v>
      </c>
      <c r="AH9" s="757">
        <f t="shared" si="56"/>
        <v>1.5700892857142856</v>
      </c>
      <c r="AI9" s="755">
        <f t="shared" si="57"/>
        <v>2.21</v>
      </c>
      <c r="AJ9" s="756">
        <f t="shared" ref="AJ9" si="152">3.517/AI9</f>
        <v>1.5914027149321266</v>
      </c>
      <c r="AK9" s="757">
        <f t="shared" si="59"/>
        <v>1.5914027149321266</v>
      </c>
      <c r="AL9" s="755">
        <f t="shared" si="60"/>
        <v>2.16</v>
      </c>
      <c r="AM9" s="756">
        <f t="shared" ref="AM9" si="153">3.517/AL9</f>
        <v>1.6282407407407407</v>
      </c>
      <c r="AN9" s="757">
        <f t="shared" si="62"/>
        <v>1.6282407407407407</v>
      </c>
      <c r="AO9" s="755">
        <f t="shared" si="63"/>
        <v>2.04</v>
      </c>
      <c r="AP9" s="756">
        <f t="shared" ref="AP9" si="154">3.517/AO9</f>
        <v>1.7240196078431371</v>
      </c>
      <c r="AQ9" s="757">
        <f t="shared" si="65"/>
        <v>1.7240196078431371</v>
      </c>
      <c r="AR9" s="755">
        <f t="shared" si="66"/>
        <v>1.79</v>
      </c>
      <c r="AS9" s="756">
        <f t="shared" ref="AS9" si="155">3.517/AR9</f>
        <v>1.964804469273743</v>
      </c>
      <c r="AT9" s="757">
        <f t="shared" si="68"/>
        <v>1.964804469273743</v>
      </c>
      <c r="AU9" s="755">
        <f t="shared" si="69"/>
        <v>2.4300000000000002</v>
      </c>
      <c r="AV9" s="756">
        <f t="shared" ref="AV9" si="156">3.517/AU9</f>
        <v>1.4473251028806584</v>
      </c>
      <c r="AW9" s="757">
        <f t="shared" si="71"/>
        <v>1.4473251028806584</v>
      </c>
      <c r="AX9" s="755">
        <f t="shared" si="72"/>
        <v>2.3199999999999998</v>
      </c>
      <c r="AY9" s="756">
        <f t="shared" ref="AY9" si="157">3.517/AX9</f>
        <v>1.515948275862069</v>
      </c>
      <c r="AZ9" s="757">
        <f t="shared" si="74"/>
        <v>1.515948275862069</v>
      </c>
      <c r="BA9" s="755">
        <f t="shared" si="75"/>
        <v>2.2000000000000002</v>
      </c>
      <c r="BB9" s="756">
        <f t="shared" ref="BB9" si="158">3.517/BA9</f>
        <v>1.5986363636363634</v>
      </c>
      <c r="BC9" s="757">
        <f t="shared" si="77"/>
        <v>1.5986363636363634</v>
      </c>
      <c r="BD9" s="755">
        <f t="shared" si="78"/>
        <v>2.39</v>
      </c>
      <c r="BE9" s="756">
        <f t="shared" ref="BE9" si="159">3.517/BD9</f>
        <v>1.4715481171548117</v>
      </c>
      <c r="BF9" s="757">
        <f t="shared" si="80"/>
        <v>1.4715481171548117</v>
      </c>
      <c r="BG9" s="755">
        <f t="shared" si="81"/>
        <v>2.2599999999999998</v>
      </c>
      <c r="BH9" s="756">
        <f t="shared" ref="BH9" si="160">3.517/BG9</f>
        <v>1.5561946902654868</v>
      </c>
      <c r="BI9" s="757">
        <f t="shared" si="83"/>
        <v>1.5561946902654868</v>
      </c>
      <c r="BJ9" s="755">
        <f t="shared" si="84"/>
        <v>2.15</v>
      </c>
      <c r="BK9" s="756">
        <f t="shared" ref="BK9" si="161">3.517/BJ9</f>
        <v>1.6358139534883722</v>
      </c>
      <c r="BL9" s="757">
        <f t="shared" si="86"/>
        <v>1.6358139534883722</v>
      </c>
      <c r="BM9" s="755">
        <f t="shared" si="87"/>
        <v>2.2200000000000002</v>
      </c>
      <c r="BN9" s="756">
        <f t="shared" ref="BN9" si="162">3.517/BM9</f>
        <v>1.5842342342342342</v>
      </c>
      <c r="BO9" s="757">
        <f t="shared" si="89"/>
        <v>1.5842342342342342</v>
      </c>
      <c r="BP9" s="755">
        <f t="shared" si="90"/>
        <v>1.89</v>
      </c>
      <c r="BQ9" s="756">
        <f t="shared" ref="BQ9" si="163">3.517/BP9</f>
        <v>1.860846560846561</v>
      </c>
      <c r="BR9" s="757">
        <f t="shared" si="92"/>
        <v>1.860846560846561</v>
      </c>
      <c r="BS9" s="755">
        <f t="shared" si="93"/>
        <v>1.85</v>
      </c>
      <c r="BT9" s="756">
        <f t="shared" ref="BT9" si="164">3.517/BS9</f>
        <v>1.901081081081081</v>
      </c>
      <c r="BU9" s="757">
        <f t="shared" si="95"/>
        <v>1.901081081081081</v>
      </c>
      <c r="BV9" s="755">
        <v>2.7</v>
      </c>
      <c r="BW9" s="756">
        <v>1.3025925925925901</v>
      </c>
      <c r="BX9" s="757">
        <v>1.3025925925925901</v>
      </c>
      <c r="BY9" s="755">
        <v>2.58</v>
      </c>
      <c r="BZ9" s="756">
        <v>1.3631782945736399</v>
      </c>
      <c r="CA9" s="757">
        <v>1.3631782945736399</v>
      </c>
      <c r="CB9" s="755">
        <v>2.36</v>
      </c>
      <c r="CC9" s="756">
        <v>1.49025423728814</v>
      </c>
      <c r="CD9" s="757">
        <v>1.49025423728814</v>
      </c>
      <c r="CE9" s="755">
        <v>2.16</v>
      </c>
      <c r="CF9" s="756">
        <v>1.62824074074074</v>
      </c>
      <c r="CG9" s="757">
        <v>1.62824074074074</v>
      </c>
      <c r="CH9" s="755">
        <v>2.04</v>
      </c>
      <c r="CI9" s="756">
        <v>1.72401960784314</v>
      </c>
      <c r="CJ9" s="757">
        <v>1.72401960784314</v>
      </c>
      <c r="CK9" s="755">
        <v>1.79</v>
      </c>
      <c r="CL9" s="756">
        <v>1.9648044692737401</v>
      </c>
      <c r="CM9" s="757">
        <v>1.9648044692737401</v>
      </c>
      <c r="CN9" s="755">
        <v>2.56</v>
      </c>
      <c r="CO9" s="756">
        <v>1.373828125</v>
      </c>
      <c r="CP9" s="757">
        <v>1.373828125</v>
      </c>
      <c r="CQ9" s="755">
        <v>2.2400000000000002</v>
      </c>
      <c r="CR9" s="756">
        <v>1.5700892857142901</v>
      </c>
      <c r="CS9" s="757">
        <v>1.5700892857142901</v>
      </c>
      <c r="CT9" s="755">
        <v>2.21</v>
      </c>
      <c r="CU9" s="756">
        <v>1.5914027149321299</v>
      </c>
      <c r="CV9" s="757">
        <v>1.5914027149321299</v>
      </c>
      <c r="CW9" s="755">
        <v>2.2200000000000002</v>
      </c>
      <c r="CX9" s="756">
        <v>1.5842342342342299</v>
      </c>
      <c r="CY9" s="757">
        <v>1.5842342342342299</v>
      </c>
      <c r="CZ9" s="755">
        <v>1.89</v>
      </c>
      <c r="DA9" s="756">
        <v>1.8608465608465601</v>
      </c>
      <c r="DB9" s="757">
        <v>1.8608465608465601</v>
      </c>
      <c r="DC9" s="755">
        <v>1.89</v>
      </c>
      <c r="DD9" s="756">
        <v>1.8608465608465601</v>
      </c>
      <c r="DE9" s="757">
        <v>1.8608465608465601</v>
      </c>
    </row>
    <row r="10" spans="1:109" x14ac:dyDescent="0.25">
      <c r="A10" s="759">
        <v>2001</v>
      </c>
      <c r="B10" s="755">
        <f t="shared" si="24"/>
        <v>2.7</v>
      </c>
      <c r="C10" s="756">
        <f t="shared" si="25"/>
        <v>1.3025925925925925</v>
      </c>
      <c r="D10" s="757">
        <f t="shared" si="26"/>
        <v>1.3025925925925925</v>
      </c>
      <c r="E10" s="755">
        <f t="shared" si="27"/>
        <v>2.58</v>
      </c>
      <c r="F10" s="756">
        <f t="shared" ref="F10" si="165">3.517/E10</f>
        <v>1.3631782945736433</v>
      </c>
      <c r="G10" s="757">
        <f t="shared" si="29"/>
        <v>1.3631782945736433</v>
      </c>
      <c r="H10" s="755">
        <f t="shared" si="30"/>
        <v>2.36</v>
      </c>
      <c r="I10" s="756">
        <f t="shared" ref="I10" si="166">3.517/H10</f>
        <v>1.4902542372881356</v>
      </c>
      <c r="J10" s="757">
        <f t="shared" si="32"/>
        <v>1.4902542372881356</v>
      </c>
      <c r="K10" s="755">
        <f t="shared" si="33"/>
        <v>2.82</v>
      </c>
      <c r="L10" s="756">
        <f t="shared" ref="L10" si="167">3.517/K10</f>
        <v>1.2471631205673759</v>
      </c>
      <c r="M10" s="757">
        <f t="shared" si="35"/>
        <v>1.2471631205673759</v>
      </c>
      <c r="N10" s="755">
        <f t="shared" si="36"/>
        <v>2.73</v>
      </c>
      <c r="O10" s="756">
        <f t="shared" ref="O10" si="168">3.517/N10</f>
        <v>1.2882783882783881</v>
      </c>
      <c r="P10" s="757">
        <f t="shared" si="38"/>
        <v>1.2882783882783881</v>
      </c>
      <c r="Q10" s="755">
        <f t="shared" si="39"/>
        <v>2.67</v>
      </c>
      <c r="R10" s="756">
        <f t="shared" ref="R10" si="169">3.517/Q10</f>
        <v>1.3172284644194756</v>
      </c>
      <c r="S10" s="757">
        <f t="shared" si="41"/>
        <v>1.3172284644194756</v>
      </c>
      <c r="T10" s="755">
        <f t="shared" si="42"/>
        <v>2.75</v>
      </c>
      <c r="U10" s="756">
        <f t="shared" ref="U10" si="170">3.517/T10</f>
        <v>1.2789090909090908</v>
      </c>
      <c r="V10" s="757">
        <f t="shared" si="44"/>
        <v>1.2789090909090908</v>
      </c>
      <c r="W10" s="755">
        <f t="shared" si="45"/>
        <v>2.66</v>
      </c>
      <c r="X10" s="756">
        <f t="shared" ref="X10" si="171">3.517/W10</f>
        <v>1.3221804511278195</v>
      </c>
      <c r="Y10" s="757">
        <f t="shared" si="47"/>
        <v>1.3221804511278195</v>
      </c>
      <c r="Z10" s="755">
        <f t="shared" si="48"/>
        <v>2.6</v>
      </c>
      <c r="AA10" s="756">
        <f t="shared" ref="AA10" si="172">3.517/Z10</f>
        <v>1.3526923076923076</v>
      </c>
      <c r="AB10" s="757">
        <f t="shared" si="50"/>
        <v>1.3526923076923076</v>
      </c>
      <c r="AC10" s="755">
        <f t="shared" si="51"/>
        <v>2.56</v>
      </c>
      <c r="AD10" s="756">
        <f t="shared" ref="AD10" si="173">3.517/AC10</f>
        <v>1.373828125</v>
      </c>
      <c r="AE10" s="757">
        <f t="shared" si="53"/>
        <v>1.373828125</v>
      </c>
      <c r="AF10" s="755">
        <f t="shared" si="54"/>
        <v>2.2400000000000002</v>
      </c>
      <c r="AG10" s="756">
        <f t="shared" ref="AG10" si="174">3.517/AF10</f>
        <v>1.5700892857142856</v>
      </c>
      <c r="AH10" s="757">
        <f t="shared" si="56"/>
        <v>1.5700892857142856</v>
      </c>
      <c r="AI10" s="755">
        <f t="shared" si="57"/>
        <v>2.21</v>
      </c>
      <c r="AJ10" s="756">
        <f t="shared" ref="AJ10" si="175">3.517/AI10</f>
        <v>1.5914027149321266</v>
      </c>
      <c r="AK10" s="757">
        <f t="shared" si="59"/>
        <v>1.5914027149321266</v>
      </c>
      <c r="AL10" s="755">
        <f t="shared" si="60"/>
        <v>2.16</v>
      </c>
      <c r="AM10" s="756">
        <f t="shared" ref="AM10" si="176">3.517/AL10</f>
        <v>1.6282407407407407</v>
      </c>
      <c r="AN10" s="757">
        <f t="shared" si="62"/>
        <v>1.6282407407407407</v>
      </c>
      <c r="AO10" s="755">
        <f t="shared" si="63"/>
        <v>2.04</v>
      </c>
      <c r="AP10" s="756">
        <f t="shared" ref="AP10" si="177">3.517/AO10</f>
        <v>1.7240196078431371</v>
      </c>
      <c r="AQ10" s="757">
        <f t="shared" si="65"/>
        <v>1.7240196078431371</v>
      </c>
      <c r="AR10" s="755">
        <f t="shared" si="66"/>
        <v>1.79</v>
      </c>
      <c r="AS10" s="756">
        <f t="shared" ref="AS10" si="178">3.517/AR10</f>
        <v>1.964804469273743</v>
      </c>
      <c r="AT10" s="757">
        <f t="shared" si="68"/>
        <v>1.964804469273743</v>
      </c>
      <c r="AU10" s="755">
        <f t="shared" si="69"/>
        <v>2.4300000000000002</v>
      </c>
      <c r="AV10" s="756">
        <f t="shared" ref="AV10" si="179">3.517/AU10</f>
        <v>1.4473251028806584</v>
      </c>
      <c r="AW10" s="757">
        <f t="shared" si="71"/>
        <v>1.4473251028806584</v>
      </c>
      <c r="AX10" s="755">
        <f t="shared" si="72"/>
        <v>2.3199999999999998</v>
      </c>
      <c r="AY10" s="756">
        <f t="shared" ref="AY10" si="180">3.517/AX10</f>
        <v>1.515948275862069</v>
      </c>
      <c r="AZ10" s="757">
        <f t="shared" si="74"/>
        <v>1.515948275862069</v>
      </c>
      <c r="BA10" s="755">
        <f t="shared" si="75"/>
        <v>2.2000000000000002</v>
      </c>
      <c r="BB10" s="756">
        <f t="shared" ref="BB10" si="181">3.517/BA10</f>
        <v>1.5986363636363634</v>
      </c>
      <c r="BC10" s="757">
        <f t="shared" si="77"/>
        <v>1.5986363636363634</v>
      </c>
      <c r="BD10" s="755">
        <f t="shared" si="78"/>
        <v>2.39</v>
      </c>
      <c r="BE10" s="756">
        <f t="shared" ref="BE10" si="182">3.517/BD10</f>
        <v>1.4715481171548117</v>
      </c>
      <c r="BF10" s="757">
        <f t="shared" si="80"/>
        <v>1.4715481171548117</v>
      </c>
      <c r="BG10" s="755">
        <f t="shared" si="81"/>
        <v>2.2599999999999998</v>
      </c>
      <c r="BH10" s="756">
        <f t="shared" ref="BH10" si="183">3.517/BG10</f>
        <v>1.5561946902654868</v>
      </c>
      <c r="BI10" s="757">
        <f t="shared" si="83"/>
        <v>1.5561946902654868</v>
      </c>
      <c r="BJ10" s="755">
        <f t="shared" si="84"/>
        <v>2.15</v>
      </c>
      <c r="BK10" s="756">
        <f t="shared" ref="BK10" si="184">3.517/BJ10</f>
        <v>1.6358139534883722</v>
      </c>
      <c r="BL10" s="757">
        <f t="shared" si="86"/>
        <v>1.6358139534883722</v>
      </c>
      <c r="BM10" s="755">
        <f t="shared" si="87"/>
        <v>2.2200000000000002</v>
      </c>
      <c r="BN10" s="756">
        <f t="shared" ref="BN10" si="185">3.517/BM10</f>
        <v>1.5842342342342342</v>
      </c>
      <c r="BO10" s="757">
        <f t="shared" si="89"/>
        <v>1.5842342342342342</v>
      </c>
      <c r="BP10" s="755">
        <f t="shared" si="90"/>
        <v>1.89</v>
      </c>
      <c r="BQ10" s="756">
        <f t="shared" ref="BQ10" si="186">3.517/BP10</f>
        <v>1.860846560846561</v>
      </c>
      <c r="BR10" s="757">
        <f t="shared" si="92"/>
        <v>1.860846560846561</v>
      </c>
      <c r="BS10" s="755">
        <f t="shared" si="93"/>
        <v>1.85</v>
      </c>
      <c r="BT10" s="756">
        <f t="shared" ref="BT10" si="187">3.517/BS10</f>
        <v>1.901081081081081</v>
      </c>
      <c r="BU10" s="757">
        <f t="shared" si="95"/>
        <v>1.901081081081081</v>
      </c>
      <c r="BV10" s="755">
        <v>2.7</v>
      </c>
      <c r="BW10" s="756">
        <v>1.3025925925925901</v>
      </c>
      <c r="BX10" s="757">
        <v>1.3025925925925901</v>
      </c>
      <c r="BY10" s="755">
        <v>2.58</v>
      </c>
      <c r="BZ10" s="756">
        <v>1.3631782945736399</v>
      </c>
      <c r="CA10" s="757">
        <v>1.3631782945736399</v>
      </c>
      <c r="CB10" s="755">
        <v>2.36</v>
      </c>
      <c r="CC10" s="756">
        <v>1.49025423728814</v>
      </c>
      <c r="CD10" s="757">
        <v>1.49025423728814</v>
      </c>
      <c r="CE10" s="755">
        <v>2.16</v>
      </c>
      <c r="CF10" s="756">
        <v>1.62824074074074</v>
      </c>
      <c r="CG10" s="757">
        <v>1.62824074074074</v>
      </c>
      <c r="CH10" s="755">
        <v>2.04</v>
      </c>
      <c r="CI10" s="756">
        <v>1.72401960784314</v>
      </c>
      <c r="CJ10" s="757">
        <v>1.72401960784314</v>
      </c>
      <c r="CK10" s="755">
        <v>1.79</v>
      </c>
      <c r="CL10" s="756">
        <v>1.9648044692737401</v>
      </c>
      <c r="CM10" s="757">
        <v>1.9648044692737401</v>
      </c>
      <c r="CN10" s="755">
        <v>2.56</v>
      </c>
      <c r="CO10" s="756">
        <v>1.373828125</v>
      </c>
      <c r="CP10" s="757">
        <v>1.373828125</v>
      </c>
      <c r="CQ10" s="755">
        <v>2.2400000000000002</v>
      </c>
      <c r="CR10" s="756">
        <v>1.5700892857142901</v>
      </c>
      <c r="CS10" s="757">
        <v>1.5700892857142901</v>
      </c>
      <c r="CT10" s="755">
        <v>2.21</v>
      </c>
      <c r="CU10" s="756">
        <v>1.5914027149321299</v>
      </c>
      <c r="CV10" s="757">
        <v>1.5914027149321299</v>
      </c>
      <c r="CW10" s="755">
        <v>2.2200000000000002</v>
      </c>
      <c r="CX10" s="756">
        <v>1.5842342342342299</v>
      </c>
      <c r="CY10" s="757">
        <v>1.5842342342342299</v>
      </c>
      <c r="CZ10" s="755">
        <v>1.89</v>
      </c>
      <c r="DA10" s="756">
        <v>1.8608465608465601</v>
      </c>
      <c r="DB10" s="757">
        <v>1.8608465608465601</v>
      </c>
      <c r="DC10" s="755">
        <v>1.89</v>
      </c>
      <c r="DD10" s="756">
        <v>1.8608465608465601</v>
      </c>
      <c r="DE10" s="757">
        <v>1.8608465608465601</v>
      </c>
    </row>
    <row r="11" spans="1:109" x14ac:dyDescent="0.25">
      <c r="A11" s="759">
        <v>2002</v>
      </c>
      <c r="B11" s="755">
        <f t="shared" si="24"/>
        <v>2.7</v>
      </c>
      <c r="C11" s="756">
        <f t="shared" si="25"/>
        <v>1.3025925925925925</v>
      </c>
      <c r="D11" s="757">
        <f t="shared" si="26"/>
        <v>1.3025925925925925</v>
      </c>
      <c r="E11" s="755">
        <f t="shared" si="27"/>
        <v>2.58</v>
      </c>
      <c r="F11" s="756">
        <f t="shared" ref="F11" si="188">3.517/E11</f>
        <v>1.3631782945736433</v>
      </c>
      <c r="G11" s="757">
        <f t="shared" si="29"/>
        <v>1.3631782945736433</v>
      </c>
      <c r="H11" s="755">
        <f t="shared" si="30"/>
        <v>2.36</v>
      </c>
      <c r="I11" s="756">
        <f t="shared" ref="I11" si="189">3.517/H11</f>
        <v>1.4902542372881356</v>
      </c>
      <c r="J11" s="757">
        <f t="shared" si="32"/>
        <v>1.4902542372881356</v>
      </c>
      <c r="K11" s="755">
        <f t="shared" si="33"/>
        <v>2.82</v>
      </c>
      <c r="L11" s="756">
        <f t="shared" ref="L11" si="190">3.517/K11</f>
        <v>1.2471631205673759</v>
      </c>
      <c r="M11" s="757">
        <f t="shared" si="35"/>
        <v>1.2471631205673759</v>
      </c>
      <c r="N11" s="755">
        <f t="shared" si="36"/>
        <v>2.73</v>
      </c>
      <c r="O11" s="756">
        <f t="shared" ref="O11" si="191">3.517/N11</f>
        <v>1.2882783882783881</v>
      </c>
      <c r="P11" s="757">
        <f t="shared" si="38"/>
        <v>1.2882783882783881</v>
      </c>
      <c r="Q11" s="755">
        <f t="shared" si="39"/>
        <v>2.67</v>
      </c>
      <c r="R11" s="756">
        <f t="shared" ref="R11" si="192">3.517/Q11</f>
        <v>1.3172284644194756</v>
      </c>
      <c r="S11" s="757">
        <f t="shared" si="41"/>
        <v>1.3172284644194756</v>
      </c>
      <c r="T11" s="755">
        <f t="shared" si="42"/>
        <v>2.75</v>
      </c>
      <c r="U11" s="756">
        <f t="shared" ref="U11" si="193">3.517/T11</f>
        <v>1.2789090909090908</v>
      </c>
      <c r="V11" s="757">
        <f t="shared" si="44"/>
        <v>1.2789090909090908</v>
      </c>
      <c r="W11" s="755">
        <f t="shared" si="45"/>
        <v>2.66</v>
      </c>
      <c r="X11" s="756">
        <f t="shared" ref="X11" si="194">3.517/W11</f>
        <v>1.3221804511278195</v>
      </c>
      <c r="Y11" s="757">
        <f t="shared" si="47"/>
        <v>1.3221804511278195</v>
      </c>
      <c r="Z11" s="755">
        <f t="shared" si="48"/>
        <v>2.6</v>
      </c>
      <c r="AA11" s="756">
        <f t="shared" ref="AA11" si="195">3.517/Z11</f>
        <v>1.3526923076923076</v>
      </c>
      <c r="AB11" s="757">
        <f t="shared" si="50"/>
        <v>1.3526923076923076</v>
      </c>
      <c r="AC11" s="755">
        <f t="shared" si="51"/>
        <v>2.56</v>
      </c>
      <c r="AD11" s="756">
        <f t="shared" ref="AD11" si="196">3.517/AC11</f>
        <v>1.373828125</v>
      </c>
      <c r="AE11" s="757">
        <f t="shared" si="53"/>
        <v>1.373828125</v>
      </c>
      <c r="AF11" s="755">
        <f t="shared" si="54"/>
        <v>2.2400000000000002</v>
      </c>
      <c r="AG11" s="756">
        <f t="shared" ref="AG11" si="197">3.517/AF11</f>
        <v>1.5700892857142856</v>
      </c>
      <c r="AH11" s="757">
        <f t="shared" si="56"/>
        <v>1.5700892857142856</v>
      </c>
      <c r="AI11" s="755">
        <f t="shared" si="57"/>
        <v>2.21</v>
      </c>
      <c r="AJ11" s="756">
        <f t="shared" ref="AJ11" si="198">3.517/AI11</f>
        <v>1.5914027149321266</v>
      </c>
      <c r="AK11" s="757">
        <f t="shared" si="59"/>
        <v>1.5914027149321266</v>
      </c>
      <c r="AL11" s="755">
        <f t="shared" si="60"/>
        <v>2.16</v>
      </c>
      <c r="AM11" s="756">
        <f t="shared" ref="AM11" si="199">3.517/AL11</f>
        <v>1.6282407407407407</v>
      </c>
      <c r="AN11" s="757">
        <f t="shared" si="62"/>
        <v>1.6282407407407407</v>
      </c>
      <c r="AO11" s="755">
        <f t="shared" si="63"/>
        <v>2.04</v>
      </c>
      <c r="AP11" s="756">
        <f t="shared" ref="AP11" si="200">3.517/AO11</f>
        <v>1.7240196078431371</v>
      </c>
      <c r="AQ11" s="757">
        <f t="shared" si="65"/>
        <v>1.7240196078431371</v>
      </c>
      <c r="AR11" s="755">
        <f t="shared" si="66"/>
        <v>1.79</v>
      </c>
      <c r="AS11" s="756">
        <f t="shared" ref="AS11" si="201">3.517/AR11</f>
        <v>1.964804469273743</v>
      </c>
      <c r="AT11" s="757">
        <f t="shared" si="68"/>
        <v>1.964804469273743</v>
      </c>
      <c r="AU11" s="755">
        <f t="shared" si="69"/>
        <v>2.4300000000000002</v>
      </c>
      <c r="AV11" s="756">
        <f t="shared" ref="AV11" si="202">3.517/AU11</f>
        <v>1.4473251028806584</v>
      </c>
      <c r="AW11" s="757">
        <f t="shared" si="71"/>
        <v>1.4473251028806584</v>
      </c>
      <c r="AX11" s="755">
        <f t="shared" si="72"/>
        <v>2.3199999999999998</v>
      </c>
      <c r="AY11" s="756">
        <f t="shared" ref="AY11" si="203">3.517/AX11</f>
        <v>1.515948275862069</v>
      </c>
      <c r="AZ11" s="757">
        <f t="shared" si="74"/>
        <v>1.515948275862069</v>
      </c>
      <c r="BA11" s="755">
        <f t="shared" si="75"/>
        <v>2.2000000000000002</v>
      </c>
      <c r="BB11" s="756">
        <f t="shared" ref="BB11" si="204">3.517/BA11</f>
        <v>1.5986363636363634</v>
      </c>
      <c r="BC11" s="757">
        <f t="shared" si="77"/>
        <v>1.5986363636363634</v>
      </c>
      <c r="BD11" s="755">
        <f t="shared" si="78"/>
        <v>2.39</v>
      </c>
      <c r="BE11" s="756">
        <f t="shared" ref="BE11" si="205">3.517/BD11</f>
        <v>1.4715481171548117</v>
      </c>
      <c r="BF11" s="757">
        <f t="shared" si="80"/>
        <v>1.4715481171548117</v>
      </c>
      <c r="BG11" s="755">
        <f t="shared" si="81"/>
        <v>2.2599999999999998</v>
      </c>
      <c r="BH11" s="756">
        <f t="shared" ref="BH11" si="206">3.517/BG11</f>
        <v>1.5561946902654868</v>
      </c>
      <c r="BI11" s="757">
        <f t="shared" si="83"/>
        <v>1.5561946902654868</v>
      </c>
      <c r="BJ11" s="755">
        <f t="shared" si="84"/>
        <v>2.15</v>
      </c>
      <c r="BK11" s="756">
        <f t="shared" ref="BK11" si="207">3.517/BJ11</f>
        <v>1.6358139534883722</v>
      </c>
      <c r="BL11" s="757">
        <f t="shared" si="86"/>
        <v>1.6358139534883722</v>
      </c>
      <c r="BM11" s="755">
        <f t="shared" si="87"/>
        <v>2.2200000000000002</v>
      </c>
      <c r="BN11" s="756">
        <f t="shared" ref="BN11" si="208">3.517/BM11</f>
        <v>1.5842342342342342</v>
      </c>
      <c r="BO11" s="757">
        <f t="shared" si="89"/>
        <v>1.5842342342342342</v>
      </c>
      <c r="BP11" s="755">
        <f t="shared" si="90"/>
        <v>1.89</v>
      </c>
      <c r="BQ11" s="756">
        <f t="shared" ref="BQ11" si="209">3.517/BP11</f>
        <v>1.860846560846561</v>
      </c>
      <c r="BR11" s="757">
        <f t="shared" si="92"/>
        <v>1.860846560846561</v>
      </c>
      <c r="BS11" s="755">
        <f t="shared" si="93"/>
        <v>1.85</v>
      </c>
      <c r="BT11" s="756">
        <f t="shared" ref="BT11" si="210">3.517/BS11</f>
        <v>1.901081081081081</v>
      </c>
      <c r="BU11" s="757">
        <f t="shared" si="95"/>
        <v>1.901081081081081</v>
      </c>
      <c r="BV11" s="755">
        <v>2.7</v>
      </c>
      <c r="BW11" s="756">
        <v>1.3025925925925901</v>
      </c>
      <c r="BX11" s="757">
        <v>1.3025925925925901</v>
      </c>
      <c r="BY11" s="755">
        <v>2.58</v>
      </c>
      <c r="BZ11" s="756">
        <v>1.3631782945736399</v>
      </c>
      <c r="CA11" s="757">
        <v>1.3631782945736399</v>
      </c>
      <c r="CB11" s="755">
        <v>2.36</v>
      </c>
      <c r="CC11" s="756">
        <v>1.49025423728814</v>
      </c>
      <c r="CD11" s="757">
        <v>1.49025423728814</v>
      </c>
      <c r="CE11" s="755">
        <v>2.16</v>
      </c>
      <c r="CF11" s="756">
        <v>1.62824074074074</v>
      </c>
      <c r="CG11" s="757">
        <v>1.62824074074074</v>
      </c>
      <c r="CH11" s="755">
        <v>2.04</v>
      </c>
      <c r="CI11" s="756">
        <v>1.72401960784314</v>
      </c>
      <c r="CJ11" s="757">
        <v>1.72401960784314</v>
      </c>
      <c r="CK11" s="755">
        <v>1.79</v>
      </c>
      <c r="CL11" s="756">
        <v>1.9648044692737401</v>
      </c>
      <c r="CM11" s="757">
        <v>1.9648044692737401</v>
      </c>
      <c r="CN11" s="755">
        <v>2.56</v>
      </c>
      <c r="CO11" s="756">
        <v>1.373828125</v>
      </c>
      <c r="CP11" s="757">
        <v>1.373828125</v>
      </c>
      <c r="CQ11" s="755">
        <v>2.2400000000000002</v>
      </c>
      <c r="CR11" s="756">
        <v>1.5700892857142901</v>
      </c>
      <c r="CS11" s="757">
        <v>1.5700892857142901</v>
      </c>
      <c r="CT11" s="755">
        <v>2.21</v>
      </c>
      <c r="CU11" s="756">
        <v>1.5914027149321299</v>
      </c>
      <c r="CV11" s="757">
        <v>1.5914027149321299</v>
      </c>
      <c r="CW11" s="755">
        <v>2.2200000000000002</v>
      </c>
      <c r="CX11" s="756">
        <v>1.5842342342342299</v>
      </c>
      <c r="CY11" s="757">
        <v>1.5842342342342299</v>
      </c>
      <c r="CZ11" s="755">
        <v>1.89</v>
      </c>
      <c r="DA11" s="756">
        <v>1.8608465608465601</v>
      </c>
      <c r="DB11" s="757">
        <v>1.8608465608465601</v>
      </c>
      <c r="DC11" s="755">
        <v>1.89</v>
      </c>
      <c r="DD11" s="756">
        <v>1.8608465608465601</v>
      </c>
      <c r="DE11" s="757">
        <v>1.8608465608465601</v>
      </c>
    </row>
    <row r="12" spans="1:109" x14ac:dyDescent="0.25">
      <c r="A12" s="759">
        <v>2003</v>
      </c>
      <c r="B12" s="755">
        <f t="shared" si="24"/>
        <v>2.7</v>
      </c>
      <c r="C12" s="756">
        <f t="shared" si="25"/>
        <v>1.3025925925925925</v>
      </c>
      <c r="D12" s="757">
        <f t="shared" si="26"/>
        <v>1.3025925925925925</v>
      </c>
      <c r="E12" s="755">
        <f t="shared" si="27"/>
        <v>2.58</v>
      </c>
      <c r="F12" s="756">
        <f t="shared" ref="F12" si="211">3.517/E12</f>
        <v>1.3631782945736433</v>
      </c>
      <c r="G12" s="757">
        <f t="shared" si="29"/>
        <v>1.3631782945736433</v>
      </c>
      <c r="H12" s="755">
        <f t="shared" si="30"/>
        <v>2.36</v>
      </c>
      <c r="I12" s="756">
        <f t="shared" ref="I12" si="212">3.517/H12</f>
        <v>1.4902542372881356</v>
      </c>
      <c r="J12" s="757">
        <f t="shared" si="32"/>
        <v>1.4902542372881356</v>
      </c>
      <c r="K12" s="755">
        <f t="shared" si="33"/>
        <v>2.82</v>
      </c>
      <c r="L12" s="756">
        <f t="shared" ref="L12" si="213">3.517/K12</f>
        <v>1.2471631205673759</v>
      </c>
      <c r="M12" s="757">
        <f t="shared" si="35"/>
        <v>1.2471631205673759</v>
      </c>
      <c r="N12" s="755">
        <f t="shared" si="36"/>
        <v>2.73</v>
      </c>
      <c r="O12" s="756">
        <f t="shared" ref="O12" si="214">3.517/N12</f>
        <v>1.2882783882783881</v>
      </c>
      <c r="P12" s="757">
        <f t="shared" si="38"/>
        <v>1.2882783882783881</v>
      </c>
      <c r="Q12" s="755">
        <f t="shared" si="39"/>
        <v>2.67</v>
      </c>
      <c r="R12" s="756">
        <f t="shared" ref="R12" si="215">3.517/Q12</f>
        <v>1.3172284644194756</v>
      </c>
      <c r="S12" s="757">
        <f t="shared" si="41"/>
        <v>1.3172284644194756</v>
      </c>
      <c r="T12" s="755">
        <f t="shared" si="42"/>
        <v>2.75</v>
      </c>
      <c r="U12" s="756">
        <f t="shared" ref="U12" si="216">3.517/T12</f>
        <v>1.2789090909090908</v>
      </c>
      <c r="V12" s="757">
        <f t="shared" si="44"/>
        <v>1.2789090909090908</v>
      </c>
      <c r="W12" s="755">
        <f t="shared" si="45"/>
        <v>2.66</v>
      </c>
      <c r="X12" s="756">
        <f t="shared" ref="X12" si="217">3.517/W12</f>
        <v>1.3221804511278195</v>
      </c>
      <c r="Y12" s="757">
        <f t="shared" si="47"/>
        <v>1.3221804511278195</v>
      </c>
      <c r="Z12" s="755">
        <f t="shared" si="48"/>
        <v>2.6</v>
      </c>
      <c r="AA12" s="756">
        <f t="shared" ref="AA12" si="218">3.517/Z12</f>
        <v>1.3526923076923076</v>
      </c>
      <c r="AB12" s="757">
        <f t="shared" si="50"/>
        <v>1.3526923076923076</v>
      </c>
      <c r="AC12" s="755">
        <f t="shared" si="51"/>
        <v>2.56</v>
      </c>
      <c r="AD12" s="756">
        <f t="shared" ref="AD12" si="219">3.517/AC12</f>
        <v>1.373828125</v>
      </c>
      <c r="AE12" s="757">
        <f t="shared" si="53"/>
        <v>1.373828125</v>
      </c>
      <c r="AF12" s="755">
        <f t="shared" si="54"/>
        <v>2.2400000000000002</v>
      </c>
      <c r="AG12" s="756">
        <f t="shared" ref="AG12" si="220">3.517/AF12</f>
        <v>1.5700892857142856</v>
      </c>
      <c r="AH12" s="757">
        <f t="shared" si="56"/>
        <v>1.5700892857142856</v>
      </c>
      <c r="AI12" s="755">
        <f t="shared" si="57"/>
        <v>2.21</v>
      </c>
      <c r="AJ12" s="756">
        <f t="shared" ref="AJ12" si="221">3.517/AI12</f>
        <v>1.5914027149321266</v>
      </c>
      <c r="AK12" s="757">
        <f t="shared" si="59"/>
        <v>1.5914027149321266</v>
      </c>
      <c r="AL12" s="755">
        <f t="shared" si="60"/>
        <v>2.16</v>
      </c>
      <c r="AM12" s="756">
        <f t="shared" ref="AM12" si="222">3.517/AL12</f>
        <v>1.6282407407407407</v>
      </c>
      <c r="AN12" s="757">
        <f t="shared" si="62"/>
        <v>1.6282407407407407</v>
      </c>
      <c r="AO12" s="755">
        <f t="shared" si="63"/>
        <v>2.04</v>
      </c>
      <c r="AP12" s="756">
        <f t="shared" ref="AP12" si="223">3.517/AO12</f>
        <v>1.7240196078431371</v>
      </c>
      <c r="AQ12" s="757">
        <f t="shared" si="65"/>
        <v>1.7240196078431371</v>
      </c>
      <c r="AR12" s="755">
        <f t="shared" si="66"/>
        <v>1.79</v>
      </c>
      <c r="AS12" s="756">
        <f t="shared" ref="AS12" si="224">3.517/AR12</f>
        <v>1.964804469273743</v>
      </c>
      <c r="AT12" s="757">
        <f t="shared" si="68"/>
        <v>1.964804469273743</v>
      </c>
      <c r="AU12" s="755">
        <f t="shared" si="69"/>
        <v>2.4300000000000002</v>
      </c>
      <c r="AV12" s="756">
        <f t="shared" ref="AV12" si="225">3.517/AU12</f>
        <v>1.4473251028806584</v>
      </c>
      <c r="AW12" s="757">
        <f t="shared" si="71"/>
        <v>1.4473251028806584</v>
      </c>
      <c r="AX12" s="755">
        <f t="shared" si="72"/>
        <v>2.3199999999999998</v>
      </c>
      <c r="AY12" s="756">
        <f t="shared" ref="AY12" si="226">3.517/AX12</f>
        <v>1.515948275862069</v>
      </c>
      <c r="AZ12" s="757">
        <f t="shared" si="74"/>
        <v>1.515948275862069</v>
      </c>
      <c r="BA12" s="755">
        <f t="shared" si="75"/>
        <v>2.2000000000000002</v>
      </c>
      <c r="BB12" s="756">
        <f t="shared" ref="BB12" si="227">3.517/BA12</f>
        <v>1.5986363636363634</v>
      </c>
      <c r="BC12" s="757">
        <f t="shared" si="77"/>
        <v>1.5986363636363634</v>
      </c>
      <c r="BD12" s="755">
        <f t="shared" si="78"/>
        <v>2.39</v>
      </c>
      <c r="BE12" s="756">
        <f t="shared" ref="BE12" si="228">3.517/BD12</f>
        <v>1.4715481171548117</v>
      </c>
      <c r="BF12" s="757">
        <f t="shared" si="80"/>
        <v>1.4715481171548117</v>
      </c>
      <c r="BG12" s="755">
        <f t="shared" si="81"/>
        <v>2.2599999999999998</v>
      </c>
      <c r="BH12" s="756">
        <f t="shared" ref="BH12" si="229">3.517/BG12</f>
        <v>1.5561946902654868</v>
      </c>
      <c r="BI12" s="757">
        <f t="shared" si="83"/>
        <v>1.5561946902654868</v>
      </c>
      <c r="BJ12" s="755">
        <f t="shared" si="84"/>
        <v>2.15</v>
      </c>
      <c r="BK12" s="756">
        <f t="shared" ref="BK12" si="230">3.517/BJ12</f>
        <v>1.6358139534883722</v>
      </c>
      <c r="BL12" s="757">
        <f t="shared" si="86"/>
        <v>1.6358139534883722</v>
      </c>
      <c r="BM12" s="755">
        <f t="shared" si="87"/>
        <v>2.2200000000000002</v>
      </c>
      <c r="BN12" s="756">
        <f t="shared" ref="BN12" si="231">3.517/BM12</f>
        <v>1.5842342342342342</v>
      </c>
      <c r="BO12" s="757">
        <f t="shared" si="89"/>
        <v>1.5842342342342342</v>
      </c>
      <c r="BP12" s="755">
        <f t="shared" si="90"/>
        <v>1.89</v>
      </c>
      <c r="BQ12" s="756">
        <f t="shared" ref="BQ12" si="232">3.517/BP12</f>
        <v>1.860846560846561</v>
      </c>
      <c r="BR12" s="757">
        <f t="shared" si="92"/>
        <v>1.860846560846561</v>
      </c>
      <c r="BS12" s="755">
        <f t="shared" si="93"/>
        <v>1.85</v>
      </c>
      <c r="BT12" s="756">
        <f t="shared" ref="BT12" si="233">3.517/BS12</f>
        <v>1.901081081081081</v>
      </c>
      <c r="BU12" s="757">
        <f t="shared" si="95"/>
        <v>1.901081081081081</v>
      </c>
      <c r="BV12" s="755">
        <v>2.7</v>
      </c>
      <c r="BW12" s="756">
        <v>1.3025925925925901</v>
      </c>
      <c r="BX12" s="757">
        <v>1.3025925925925901</v>
      </c>
      <c r="BY12" s="755">
        <v>2.58</v>
      </c>
      <c r="BZ12" s="756">
        <v>1.3631782945736399</v>
      </c>
      <c r="CA12" s="757">
        <v>1.3631782945736399</v>
      </c>
      <c r="CB12" s="755">
        <v>2.36</v>
      </c>
      <c r="CC12" s="756">
        <v>1.49025423728814</v>
      </c>
      <c r="CD12" s="757">
        <v>1.49025423728814</v>
      </c>
      <c r="CE12" s="755">
        <v>2.16</v>
      </c>
      <c r="CF12" s="756">
        <v>1.62824074074074</v>
      </c>
      <c r="CG12" s="757">
        <v>1.62824074074074</v>
      </c>
      <c r="CH12" s="755">
        <v>2.04</v>
      </c>
      <c r="CI12" s="756">
        <v>1.72401960784314</v>
      </c>
      <c r="CJ12" s="757">
        <v>1.72401960784314</v>
      </c>
      <c r="CK12" s="755">
        <v>1.79</v>
      </c>
      <c r="CL12" s="756">
        <v>1.9648044692737401</v>
      </c>
      <c r="CM12" s="757">
        <v>1.9648044692737401</v>
      </c>
      <c r="CN12" s="755">
        <v>2.56</v>
      </c>
      <c r="CO12" s="756">
        <v>1.373828125</v>
      </c>
      <c r="CP12" s="757">
        <v>1.373828125</v>
      </c>
      <c r="CQ12" s="755">
        <v>2.2400000000000002</v>
      </c>
      <c r="CR12" s="756">
        <v>1.5700892857142901</v>
      </c>
      <c r="CS12" s="757">
        <v>1.5700892857142901</v>
      </c>
      <c r="CT12" s="755">
        <v>2.21</v>
      </c>
      <c r="CU12" s="756">
        <v>1.5914027149321299</v>
      </c>
      <c r="CV12" s="757">
        <v>1.5914027149321299</v>
      </c>
      <c r="CW12" s="755">
        <v>2.2200000000000002</v>
      </c>
      <c r="CX12" s="756">
        <v>1.5842342342342299</v>
      </c>
      <c r="CY12" s="757">
        <v>1.5842342342342299</v>
      </c>
      <c r="CZ12" s="755">
        <v>1.89</v>
      </c>
      <c r="DA12" s="756">
        <v>1.8608465608465601</v>
      </c>
      <c r="DB12" s="757">
        <v>1.8608465608465601</v>
      </c>
      <c r="DC12" s="755">
        <v>1.89</v>
      </c>
      <c r="DD12" s="756">
        <v>1.8608465608465601</v>
      </c>
      <c r="DE12" s="757">
        <v>1.8608465608465601</v>
      </c>
    </row>
    <row r="13" spans="1:109" x14ac:dyDescent="0.25">
      <c r="A13" s="759">
        <v>2004</v>
      </c>
      <c r="B13" s="755">
        <f t="shared" si="24"/>
        <v>2.7</v>
      </c>
      <c r="C13" s="756">
        <f t="shared" si="25"/>
        <v>1.3025925925925925</v>
      </c>
      <c r="D13" s="757">
        <f t="shared" si="26"/>
        <v>1.3025925925925925</v>
      </c>
      <c r="E13" s="755">
        <f t="shared" si="27"/>
        <v>2.58</v>
      </c>
      <c r="F13" s="756">
        <f t="shared" ref="F13" si="234">3.517/E13</f>
        <v>1.3631782945736433</v>
      </c>
      <c r="G13" s="757">
        <f t="shared" si="29"/>
        <v>1.3631782945736433</v>
      </c>
      <c r="H13" s="755">
        <f t="shared" si="30"/>
        <v>2.36</v>
      </c>
      <c r="I13" s="756">
        <f t="shared" ref="I13" si="235">3.517/H13</f>
        <v>1.4902542372881356</v>
      </c>
      <c r="J13" s="757">
        <f t="shared" si="32"/>
        <v>1.4902542372881356</v>
      </c>
      <c r="K13" s="755">
        <f t="shared" si="33"/>
        <v>2.82</v>
      </c>
      <c r="L13" s="756">
        <f t="shared" ref="L13" si="236">3.517/K13</f>
        <v>1.2471631205673759</v>
      </c>
      <c r="M13" s="757">
        <f t="shared" si="35"/>
        <v>1.2471631205673759</v>
      </c>
      <c r="N13" s="755">
        <f t="shared" si="36"/>
        <v>2.73</v>
      </c>
      <c r="O13" s="756">
        <f t="shared" ref="O13" si="237">3.517/N13</f>
        <v>1.2882783882783881</v>
      </c>
      <c r="P13" s="757">
        <f t="shared" si="38"/>
        <v>1.2882783882783881</v>
      </c>
      <c r="Q13" s="755">
        <f t="shared" si="39"/>
        <v>2.67</v>
      </c>
      <c r="R13" s="756">
        <f t="shared" ref="R13" si="238">3.517/Q13</f>
        <v>1.3172284644194756</v>
      </c>
      <c r="S13" s="757">
        <f t="shared" si="41"/>
        <v>1.3172284644194756</v>
      </c>
      <c r="T13" s="755">
        <f t="shared" si="42"/>
        <v>2.75</v>
      </c>
      <c r="U13" s="756">
        <f t="shared" ref="U13" si="239">3.517/T13</f>
        <v>1.2789090909090908</v>
      </c>
      <c r="V13" s="757">
        <f t="shared" si="44"/>
        <v>1.2789090909090908</v>
      </c>
      <c r="W13" s="755">
        <f t="shared" si="45"/>
        <v>2.66</v>
      </c>
      <c r="X13" s="756">
        <f t="shared" ref="X13" si="240">3.517/W13</f>
        <v>1.3221804511278195</v>
      </c>
      <c r="Y13" s="757">
        <f t="shared" si="47"/>
        <v>1.3221804511278195</v>
      </c>
      <c r="Z13" s="755">
        <f t="shared" si="48"/>
        <v>2.6</v>
      </c>
      <c r="AA13" s="756">
        <f t="shared" ref="AA13" si="241">3.517/Z13</f>
        <v>1.3526923076923076</v>
      </c>
      <c r="AB13" s="757">
        <f t="shared" si="50"/>
        <v>1.3526923076923076</v>
      </c>
      <c r="AC13" s="755">
        <f t="shared" si="51"/>
        <v>2.56</v>
      </c>
      <c r="AD13" s="756">
        <f t="shared" ref="AD13" si="242">3.517/AC13</f>
        <v>1.373828125</v>
      </c>
      <c r="AE13" s="757">
        <f t="shared" si="53"/>
        <v>1.373828125</v>
      </c>
      <c r="AF13" s="755">
        <f t="shared" si="54"/>
        <v>2.2400000000000002</v>
      </c>
      <c r="AG13" s="756">
        <f t="shared" ref="AG13" si="243">3.517/AF13</f>
        <v>1.5700892857142856</v>
      </c>
      <c r="AH13" s="757">
        <f t="shared" si="56"/>
        <v>1.5700892857142856</v>
      </c>
      <c r="AI13" s="755">
        <f t="shared" si="57"/>
        <v>2.21</v>
      </c>
      <c r="AJ13" s="756">
        <f t="shared" ref="AJ13" si="244">3.517/AI13</f>
        <v>1.5914027149321266</v>
      </c>
      <c r="AK13" s="757">
        <f t="shared" si="59"/>
        <v>1.5914027149321266</v>
      </c>
      <c r="AL13" s="755">
        <f t="shared" si="60"/>
        <v>2.16</v>
      </c>
      <c r="AM13" s="756">
        <f t="shared" ref="AM13" si="245">3.517/AL13</f>
        <v>1.6282407407407407</v>
      </c>
      <c r="AN13" s="757">
        <f t="shared" si="62"/>
        <v>1.6282407407407407</v>
      </c>
      <c r="AO13" s="755">
        <f t="shared" si="63"/>
        <v>2.04</v>
      </c>
      <c r="AP13" s="756">
        <f t="shared" ref="AP13" si="246">3.517/AO13</f>
        <v>1.7240196078431371</v>
      </c>
      <c r="AQ13" s="757">
        <f t="shared" si="65"/>
        <v>1.7240196078431371</v>
      </c>
      <c r="AR13" s="755">
        <f t="shared" si="66"/>
        <v>1.79</v>
      </c>
      <c r="AS13" s="756">
        <f t="shared" ref="AS13" si="247">3.517/AR13</f>
        <v>1.964804469273743</v>
      </c>
      <c r="AT13" s="757">
        <f t="shared" si="68"/>
        <v>1.964804469273743</v>
      </c>
      <c r="AU13" s="755">
        <f t="shared" si="69"/>
        <v>2.4300000000000002</v>
      </c>
      <c r="AV13" s="756">
        <f t="shared" ref="AV13" si="248">3.517/AU13</f>
        <v>1.4473251028806584</v>
      </c>
      <c r="AW13" s="757">
        <f t="shared" si="71"/>
        <v>1.4473251028806584</v>
      </c>
      <c r="AX13" s="755">
        <f t="shared" si="72"/>
        <v>2.3199999999999998</v>
      </c>
      <c r="AY13" s="756">
        <f t="shared" ref="AY13" si="249">3.517/AX13</f>
        <v>1.515948275862069</v>
      </c>
      <c r="AZ13" s="757">
        <f t="shared" si="74"/>
        <v>1.515948275862069</v>
      </c>
      <c r="BA13" s="755">
        <f t="shared" si="75"/>
        <v>2.2000000000000002</v>
      </c>
      <c r="BB13" s="756">
        <f t="shared" ref="BB13" si="250">3.517/BA13</f>
        <v>1.5986363636363634</v>
      </c>
      <c r="BC13" s="757">
        <f t="shared" si="77"/>
        <v>1.5986363636363634</v>
      </c>
      <c r="BD13" s="755">
        <f t="shared" si="78"/>
        <v>2.39</v>
      </c>
      <c r="BE13" s="756">
        <f t="shared" ref="BE13" si="251">3.517/BD13</f>
        <v>1.4715481171548117</v>
      </c>
      <c r="BF13" s="757">
        <f t="shared" si="80"/>
        <v>1.4715481171548117</v>
      </c>
      <c r="BG13" s="755">
        <f t="shared" si="81"/>
        <v>2.2599999999999998</v>
      </c>
      <c r="BH13" s="756">
        <f t="shared" ref="BH13" si="252">3.517/BG13</f>
        <v>1.5561946902654868</v>
      </c>
      <c r="BI13" s="757">
        <f t="shared" si="83"/>
        <v>1.5561946902654868</v>
      </c>
      <c r="BJ13" s="755">
        <f t="shared" si="84"/>
        <v>2.15</v>
      </c>
      <c r="BK13" s="756">
        <f t="shared" ref="BK13" si="253">3.517/BJ13</f>
        <v>1.6358139534883722</v>
      </c>
      <c r="BL13" s="757">
        <f t="shared" si="86"/>
        <v>1.6358139534883722</v>
      </c>
      <c r="BM13" s="755">
        <f t="shared" si="87"/>
        <v>2.2200000000000002</v>
      </c>
      <c r="BN13" s="756">
        <f t="shared" ref="BN13" si="254">3.517/BM13</f>
        <v>1.5842342342342342</v>
      </c>
      <c r="BO13" s="757">
        <f t="shared" si="89"/>
        <v>1.5842342342342342</v>
      </c>
      <c r="BP13" s="755">
        <f t="shared" si="90"/>
        <v>1.89</v>
      </c>
      <c r="BQ13" s="756">
        <f t="shared" ref="BQ13" si="255">3.517/BP13</f>
        <v>1.860846560846561</v>
      </c>
      <c r="BR13" s="757">
        <f t="shared" si="92"/>
        <v>1.860846560846561</v>
      </c>
      <c r="BS13" s="755">
        <f t="shared" si="93"/>
        <v>1.85</v>
      </c>
      <c r="BT13" s="756">
        <f t="shared" ref="BT13" si="256">3.517/BS13</f>
        <v>1.901081081081081</v>
      </c>
      <c r="BU13" s="757">
        <f t="shared" si="95"/>
        <v>1.901081081081081</v>
      </c>
      <c r="BV13" s="755">
        <v>2.7</v>
      </c>
      <c r="BW13" s="756">
        <v>1.3025925925925901</v>
      </c>
      <c r="BX13" s="757">
        <v>1.3025925925925901</v>
      </c>
      <c r="BY13" s="755">
        <v>2.58</v>
      </c>
      <c r="BZ13" s="756">
        <v>1.3631782945736399</v>
      </c>
      <c r="CA13" s="757">
        <v>1.3631782945736399</v>
      </c>
      <c r="CB13" s="755">
        <v>2.36</v>
      </c>
      <c r="CC13" s="756">
        <v>1.49025423728814</v>
      </c>
      <c r="CD13" s="757">
        <v>1.49025423728814</v>
      </c>
      <c r="CE13" s="755">
        <v>2.16</v>
      </c>
      <c r="CF13" s="756">
        <v>1.62824074074074</v>
      </c>
      <c r="CG13" s="757">
        <v>1.62824074074074</v>
      </c>
      <c r="CH13" s="755">
        <v>2.04</v>
      </c>
      <c r="CI13" s="756">
        <v>1.72401960784314</v>
      </c>
      <c r="CJ13" s="757">
        <v>1.72401960784314</v>
      </c>
      <c r="CK13" s="755">
        <v>1.79</v>
      </c>
      <c r="CL13" s="756">
        <v>1.9648044692737401</v>
      </c>
      <c r="CM13" s="757">
        <v>1.9648044692737401</v>
      </c>
      <c r="CN13" s="755">
        <v>2.56</v>
      </c>
      <c r="CO13" s="756">
        <v>1.373828125</v>
      </c>
      <c r="CP13" s="757">
        <v>1.373828125</v>
      </c>
      <c r="CQ13" s="755">
        <v>2.2400000000000002</v>
      </c>
      <c r="CR13" s="756">
        <v>1.5700892857142901</v>
      </c>
      <c r="CS13" s="757">
        <v>1.5700892857142901</v>
      </c>
      <c r="CT13" s="755">
        <v>2.21</v>
      </c>
      <c r="CU13" s="756">
        <v>1.5914027149321299</v>
      </c>
      <c r="CV13" s="757">
        <v>1.5914027149321299</v>
      </c>
      <c r="CW13" s="755">
        <v>2.2200000000000002</v>
      </c>
      <c r="CX13" s="756">
        <v>1.5842342342342299</v>
      </c>
      <c r="CY13" s="757">
        <v>1.5842342342342299</v>
      </c>
      <c r="CZ13" s="755">
        <v>1.89</v>
      </c>
      <c r="DA13" s="756">
        <v>1.8608465608465601</v>
      </c>
      <c r="DB13" s="757">
        <v>1.8608465608465601</v>
      </c>
      <c r="DC13" s="755">
        <v>1.89</v>
      </c>
      <c r="DD13" s="756">
        <v>1.8608465608465601</v>
      </c>
      <c r="DE13" s="757">
        <v>1.8608465608465601</v>
      </c>
    </row>
    <row r="14" spans="1:109" x14ac:dyDescent="0.25">
      <c r="A14" s="759">
        <v>2005</v>
      </c>
      <c r="B14" s="755">
        <f t="shared" si="24"/>
        <v>2.7</v>
      </c>
      <c r="C14" s="756">
        <f t="shared" si="25"/>
        <v>1.3025925925925925</v>
      </c>
      <c r="D14" s="757">
        <f t="shared" si="26"/>
        <v>1.3025925925925925</v>
      </c>
      <c r="E14" s="755">
        <f t="shared" si="27"/>
        <v>2.58</v>
      </c>
      <c r="F14" s="756">
        <f t="shared" ref="F14" si="257">3.517/E14</f>
        <v>1.3631782945736433</v>
      </c>
      <c r="G14" s="757">
        <f t="shared" si="29"/>
        <v>1.3631782945736433</v>
      </c>
      <c r="H14" s="755">
        <f t="shared" si="30"/>
        <v>2.36</v>
      </c>
      <c r="I14" s="756">
        <f t="shared" ref="I14" si="258">3.517/H14</f>
        <v>1.4902542372881356</v>
      </c>
      <c r="J14" s="757">
        <f t="shared" si="32"/>
        <v>1.4902542372881356</v>
      </c>
      <c r="K14" s="755">
        <f t="shared" si="33"/>
        <v>2.82</v>
      </c>
      <c r="L14" s="756">
        <f t="shared" ref="L14" si="259">3.517/K14</f>
        <v>1.2471631205673759</v>
      </c>
      <c r="M14" s="757">
        <f t="shared" si="35"/>
        <v>1.2471631205673759</v>
      </c>
      <c r="N14" s="755">
        <f t="shared" si="36"/>
        <v>2.73</v>
      </c>
      <c r="O14" s="756">
        <f t="shared" ref="O14" si="260">3.517/N14</f>
        <v>1.2882783882783881</v>
      </c>
      <c r="P14" s="757">
        <f t="shared" si="38"/>
        <v>1.2882783882783881</v>
      </c>
      <c r="Q14" s="755">
        <f t="shared" si="39"/>
        <v>2.67</v>
      </c>
      <c r="R14" s="756">
        <f t="shared" ref="R14" si="261">3.517/Q14</f>
        <v>1.3172284644194756</v>
      </c>
      <c r="S14" s="757">
        <f t="shared" si="41"/>
        <v>1.3172284644194756</v>
      </c>
      <c r="T14" s="755">
        <f t="shared" si="42"/>
        <v>2.75</v>
      </c>
      <c r="U14" s="756">
        <f t="shared" ref="U14" si="262">3.517/T14</f>
        <v>1.2789090909090908</v>
      </c>
      <c r="V14" s="757">
        <f t="shared" si="44"/>
        <v>1.2789090909090908</v>
      </c>
      <c r="W14" s="755">
        <f t="shared" si="45"/>
        <v>2.66</v>
      </c>
      <c r="X14" s="756">
        <f t="shared" ref="X14" si="263">3.517/W14</f>
        <v>1.3221804511278195</v>
      </c>
      <c r="Y14" s="757">
        <f t="shared" si="47"/>
        <v>1.3221804511278195</v>
      </c>
      <c r="Z14" s="755">
        <f t="shared" si="48"/>
        <v>2.6</v>
      </c>
      <c r="AA14" s="756">
        <f t="shared" ref="AA14" si="264">3.517/Z14</f>
        <v>1.3526923076923076</v>
      </c>
      <c r="AB14" s="757">
        <f t="shared" si="50"/>
        <v>1.3526923076923076</v>
      </c>
      <c r="AC14" s="755">
        <f t="shared" si="51"/>
        <v>2.56</v>
      </c>
      <c r="AD14" s="756">
        <f t="shared" ref="AD14" si="265">3.517/AC14</f>
        <v>1.373828125</v>
      </c>
      <c r="AE14" s="757">
        <f t="shared" si="53"/>
        <v>1.373828125</v>
      </c>
      <c r="AF14" s="755">
        <f t="shared" ref="E14:BP26" si="266">AF$36</f>
        <v>2.2400000000000002</v>
      </c>
      <c r="AG14" s="756">
        <f t="shared" ref="AG14" si="267">3.517/AF14</f>
        <v>1.5700892857142856</v>
      </c>
      <c r="AH14" s="757">
        <f t="shared" si="56"/>
        <v>1.5700892857142856</v>
      </c>
      <c r="AI14" s="755">
        <f t="shared" si="266"/>
        <v>2.21</v>
      </c>
      <c r="AJ14" s="756">
        <f t="shared" ref="AJ14" si="268">3.517/AI14</f>
        <v>1.5914027149321266</v>
      </c>
      <c r="AK14" s="757">
        <f t="shared" si="59"/>
        <v>1.5914027149321266</v>
      </c>
      <c r="AL14" s="755">
        <f t="shared" si="266"/>
        <v>2.16</v>
      </c>
      <c r="AM14" s="756">
        <f t="shared" ref="AM14" si="269">3.517/AL14</f>
        <v>1.6282407407407407</v>
      </c>
      <c r="AN14" s="757">
        <f t="shared" si="62"/>
        <v>1.6282407407407407</v>
      </c>
      <c r="AO14" s="755">
        <f t="shared" si="266"/>
        <v>2.04</v>
      </c>
      <c r="AP14" s="756">
        <f t="shared" ref="AP14" si="270">3.517/AO14</f>
        <v>1.7240196078431371</v>
      </c>
      <c r="AQ14" s="757">
        <f t="shared" si="65"/>
        <v>1.7240196078431371</v>
      </c>
      <c r="AR14" s="755">
        <f t="shared" si="266"/>
        <v>1.79</v>
      </c>
      <c r="AS14" s="756">
        <f t="shared" ref="AS14" si="271">3.517/AR14</f>
        <v>1.964804469273743</v>
      </c>
      <c r="AT14" s="757">
        <f t="shared" si="68"/>
        <v>1.964804469273743</v>
      </c>
      <c r="AU14" s="755">
        <f t="shared" si="266"/>
        <v>2.4300000000000002</v>
      </c>
      <c r="AV14" s="756">
        <f t="shared" ref="AV14" si="272">3.517/AU14</f>
        <v>1.4473251028806584</v>
      </c>
      <c r="AW14" s="757">
        <f t="shared" si="71"/>
        <v>1.4473251028806584</v>
      </c>
      <c r="AX14" s="755">
        <f t="shared" si="266"/>
        <v>2.3199999999999998</v>
      </c>
      <c r="AY14" s="756">
        <f t="shared" ref="AY14" si="273">3.517/AX14</f>
        <v>1.515948275862069</v>
      </c>
      <c r="AZ14" s="757">
        <f t="shared" si="74"/>
        <v>1.515948275862069</v>
      </c>
      <c r="BA14" s="755">
        <f t="shared" si="266"/>
        <v>2.2000000000000002</v>
      </c>
      <c r="BB14" s="756">
        <f t="shared" ref="BB14" si="274">3.517/BA14</f>
        <v>1.5986363636363634</v>
      </c>
      <c r="BC14" s="757">
        <f t="shared" si="77"/>
        <v>1.5986363636363634</v>
      </c>
      <c r="BD14" s="755">
        <f t="shared" si="266"/>
        <v>2.39</v>
      </c>
      <c r="BE14" s="756">
        <f t="shared" ref="BE14" si="275">3.517/BD14</f>
        <v>1.4715481171548117</v>
      </c>
      <c r="BF14" s="757">
        <f t="shared" si="80"/>
        <v>1.4715481171548117</v>
      </c>
      <c r="BG14" s="755">
        <f t="shared" si="266"/>
        <v>2.2599999999999998</v>
      </c>
      <c r="BH14" s="756">
        <f t="shared" ref="BH14" si="276">3.517/BG14</f>
        <v>1.5561946902654868</v>
      </c>
      <c r="BI14" s="757">
        <f t="shared" si="83"/>
        <v>1.5561946902654868</v>
      </c>
      <c r="BJ14" s="755">
        <f t="shared" si="266"/>
        <v>2.15</v>
      </c>
      <c r="BK14" s="756">
        <f t="shared" ref="BK14" si="277">3.517/BJ14</f>
        <v>1.6358139534883722</v>
      </c>
      <c r="BL14" s="757">
        <f t="shared" si="86"/>
        <v>1.6358139534883722</v>
      </c>
      <c r="BM14" s="755">
        <f t="shared" si="266"/>
        <v>2.2200000000000002</v>
      </c>
      <c r="BN14" s="756">
        <f t="shared" ref="BN14" si="278">3.517/BM14</f>
        <v>1.5842342342342342</v>
      </c>
      <c r="BO14" s="757">
        <f t="shared" si="89"/>
        <v>1.5842342342342342</v>
      </c>
      <c r="BP14" s="755">
        <f t="shared" si="266"/>
        <v>1.89</v>
      </c>
      <c r="BQ14" s="756">
        <f t="shared" ref="BQ14" si="279">3.517/BP14</f>
        <v>1.860846560846561</v>
      </c>
      <c r="BR14" s="757">
        <f t="shared" si="92"/>
        <v>1.860846560846561</v>
      </c>
      <c r="BS14" s="755">
        <f t="shared" si="93"/>
        <v>1.85</v>
      </c>
      <c r="BT14" s="756">
        <f t="shared" ref="BT14" si="280">3.517/BS14</f>
        <v>1.901081081081081</v>
      </c>
      <c r="BU14" s="757">
        <f t="shared" si="95"/>
        <v>1.901081081081081</v>
      </c>
      <c r="BV14" s="755">
        <v>2.7</v>
      </c>
      <c r="BW14" s="756">
        <v>1.3025925925925901</v>
      </c>
      <c r="BX14" s="757">
        <v>1.3025925925925901</v>
      </c>
      <c r="BY14" s="755">
        <v>2.58</v>
      </c>
      <c r="BZ14" s="756">
        <v>1.3631782945736399</v>
      </c>
      <c r="CA14" s="757">
        <v>1.3631782945736399</v>
      </c>
      <c r="CB14" s="755">
        <v>2.36</v>
      </c>
      <c r="CC14" s="756">
        <v>1.49025423728814</v>
      </c>
      <c r="CD14" s="757">
        <v>1.49025423728814</v>
      </c>
      <c r="CE14" s="755">
        <v>2.16</v>
      </c>
      <c r="CF14" s="756">
        <v>1.62824074074074</v>
      </c>
      <c r="CG14" s="757">
        <v>1.62824074074074</v>
      </c>
      <c r="CH14" s="755">
        <v>2.04</v>
      </c>
      <c r="CI14" s="756">
        <v>1.72401960784314</v>
      </c>
      <c r="CJ14" s="757">
        <v>1.72401960784314</v>
      </c>
      <c r="CK14" s="755">
        <v>1.79</v>
      </c>
      <c r="CL14" s="756">
        <v>1.9648044692737401</v>
      </c>
      <c r="CM14" s="757">
        <v>1.9648044692737401</v>
      </c>
      <c r="CN14" s="755">
        <v>2.56</v>
      </c>
      <c r="CO14" s="756">
        <v>1.373828125</v>
      </c>
      <c r="CP14" s="757">
        <v>1.373828125</v>
      </c>
      <c r="CQ14" s="755">
        <v>2.2400000000000002</v>
      </c>
      <c r="CR14" s="756">
        <v>1.5700892857142901</v>
      </c>
      <c r="CS14" s="757">
        <v>1.5700892857142901</v>
      </c>
      <c r="CT14" s="755">
        <v>2.21</v>
      </c>
      <c r="CU14" s="756">
        <v>1.5914027149321299</v>
      </c>
      <c r="CV14" s="757">
        <v>1.5914027149321299</v>
      </c>
      <c r="CW14" s="755">
        <v>2.2200000000000002</v>
      </c>
      <c r="CX14" s="756">
        <v>1.5842342342342299</v>
      </c>
      <c r="CY14" s="757">
        <v>1.5842342342342299</v>
      </c>
      <c r="CZ14" s="755">
        <v>1.89</v>
      </c>
      <c r="DA14" s="756">
        <v>1.8608465608465601</v>
      </c>
      <c r="DB14" s="757">
        <v>1.8608465608465601</v>
      </c>
      <c r="DC14" s="755">
        <v>1.89</v>
      </c>
      <c r="DD14" s="756">
        <v>1.8608465608465601</v>
      </c>
      <c r="DE14" s="757">
        <v>1.8608465608465601</v>
      </c>
    </row>
    <row r="15" spans="1:109" x14ac:dyDescent="0.25">
      <c r="A15" s="759">
        <v>2006</v>
      </c>
      <c r="B15" s="755">
        <f t="shared" si="24"/>
        <v>2.7</v>
      </c>
      <c r="C15" s="756">
        <f t="shared" si="25"/>
        <v>1.3025925925925925</v>
      </c>
      <c r="D15" s="757">
        <f t="shared" si="26"/>
        <v>1.3025925925925925</v>
      </c>
      <c r="E15" s="755">
        <f t="shared" si="266"/>
        <v>2.58</v>
      </c>
      <c r="F15" s="756">
        <f t="shared" ref="F15" si="281">3.517/E15</f>
        <v>1.3631782945736433</v>
      </c>
      <c r="G15" s="757">
        <f t="shared" si="29"/>
        <v>1.3631782945736433</v>
      </c>
      <c r="H15" s="755">
        <f t="shared" si="266"/>
        <v>2.36</v>
      </c>
      <c r="I15" s="756">
        <f t="shared" ref="I15" si="282">3.517/H15</f>
        <v>1.4902542372881356</v>
      </c>
      <c r="J15" s="757">
        <f t="shared" si="32"/>
        <v>1.4902542372881356</v>
      </c>
      <c r="K15" s="755">
        <f t="shared" si="266"/>
        <v>2.82</v>
      </c>
      <c r="L15" s="756">
        <f t="shared" ref="L15" si="283">3.517/K15</f>
        <v>1.2471631205673759</v>
      </c>
      <c r="M15" s="757">
        <f t="shared" si="35"/>
        <v>1.2471631205673759</v>
      </c>
      <c r="N15" s="755">
        <f t="shared" si="266"/>
        <v>2.73</v>
      </c>
      <c r="O15" s="756">
        <f t="shared" ref="O15" si="284">3.517/N15</f>
        <v>1.2882783882783881</v>
      </c>
      <c r="P15" s="757">
        <f t="shared" si="38"/>
        <v>1.2882783882783881</v>
      </c>
      <c r="Q15" s="755">
        <f t="shared" si="266"/>
        <v>2.67</v>
      </c>
      <c r="R15" s="756">
        <f t="shared" ref="R15" si="285">3.517/Q15</f>
        <v>1.3172284644194756</v>
      </c>
      <c r="S15" s="757">
        <f t="shared" si="41"/>
        <v>1.3172284644194756</v>
      </c>
      <c r="T15" s="755">
        <f t="shared" si="266"/>
        <v>2.75</v>
      </c>
      <c r="U15" s="756">
        <f t="shared" ref="U15" si="286">3.517/T15</f>
        <v>1.2789090909090908</v>
      </c>
      <c r="V15" s="757">
        <f t="shared" si="44"/>
        <v>1.2789090909090908</v>
      </c>
      <c r="W15" s="755">
        <f t="shared" si="266"/>
        <v>2.66</v>
      </c>
      <c r="X15" s="756">
        <f t="shared" ref="X15" si="287">3.517/W15</f>
        <v>1.3221804511278195</v>
      </c>
      <c r="Y15" s="757">
        <f t="shared" si="47"/>
        <v>1.3221804511278195</v>
      </c>
      <c r="Z15" s="755">
        <f t="shared" si="266"/>
        <v>2.6</v>
      </c>
      <c r="AA15" s="756">
        <f t="shared" ref="AA15" si="288">3.517/Z15</f>
        <v>1.3526923076923076</v>
      </c>
      <c r="AB15" s="757">
        <f t="shared" si="50"/>
        <v>1.3526923076923076</v>
      </c>
      <c r="AC15" s="755">
        <f t="shared" si="266"/>
        <v>2.56</v>
      </c>
      <c r="AD15" s="756">
        <f t="shared" ref="AD15" si="289">3.517/AC15</f>
        <v>1.373828125</v>
      </c>
      <c r="AE15" s="757">
        <f t="shared" si="53"/>
        <v>1.373828125</v>
      </c>
      <c r="AF15" s="755">
        <f t="shared" si="266"/>
        <v>2.2400000000000002</v>
      </c>
      <c r="AG15" s="756">
        <f t="shared" ref="AG15" si="290">3.517/AF15</f>
        <v>1.5700892857142856</v>
      </c>
      <c r="AH15" s="757">
        <f t="shared" si="56"/>
        <v>1.5700892857142856</v>
      </c>
      <c r="AI15" s="755">
        <f t="shared" si="266"/>
        <v>2.21</v>
      </c>
      <c r="AJ15" s="756">
        <f t="shared" ref="AJ15" si="291">3.517/AI15</f>
        <v>1.5914027149321266</v>
      </c>
      <c r="AK15" s="757">
        <f t="shared" si="59"/>
        <v>1.5914027149321266</v>
      </c>
      <c r="AL15" s="755">
        <f t="shared" si="266"/>
        <v>2.16</v>
      </c>
      <c r="AM15" s="756">
        <f t="shared" ref="AM15" si="292">3.517/AL15</f>
        <v>1.6282407407407407</v>
      </c>
      <c r="AN15" s="757">
        <f t="shared" si="62"/>
        <v>1.6282407407407407</v>
      </c>
      <c r="AO15" s="755">
        <f t="shared" si="266"/>
        <v>2.04</v>
      </c>
      <c r="AP15" s="756">
        <f t="shared" ref="AP15" si="293">3.517/AO15</f>
        <v>1.7240196078431371</v>
      </c>
      <c r="AQ15" s="757">
        <f t="shared" si="65"/>
        <v>1.7240196078431371</v>
      </c>
      <c r="AR15" s="755">
        <f t="shared" si="266"/>
        <v>1.79</v>
      </c>
      <c r="AS15" s="756">
        <f t="shared" ref="AS15" si="294">3.517/AR15</f>
        <v>1.964804469273743</v>
      </c>
      <c r="AT15" s="757">
        <f t="shared" si="68"/>
        <v>1.964804469273743</v>
      </c>
      <c r="AU15" s="755">
        <f t="shared" si="266"/>
        <v>2.4300000000000002</v>
      </c>
      <c r="AV15" s="756">
        <f t="shared" ref="AV15" si="295">3.517/AU15</f>
        <v>1.4473251028806584</v>
      </c>
      <c r="AW15" s="757">
        <f t="shared" si="71"/>
        <v>1.4473251028806584</v>
      </c>
      <c r="AX15" s="755">
        <f t="shared" si="266"/>
        <v>2.3199999999999998</v>
      </c>
      <c r="AY15" s="756">
        <f t="shared" ref="AY15" si="296">3.517/AX15</f>
        <v>1.515948275862069</v>
      </c>
      <c r="AZ15" s="757">
        <f t="shared" si="74"/>
        <v>1.515948275862069</v>
      </c>
      <c r="BA15" s="755">
        <f t="shared" si="266"/>
        <v>2.2000000000000002</v>
      </c>
      <c r="BB15" s="756">
        <f t="shared" ref="BB15" si="297">3.517/BA15</f>
        <v>1.5986363636363634</v>
      </c>
      <c r="BC15" s="757">
        <f t="shared" si="77"/>
        <v>1.5986363636363634</v>
      </c>
      <c r="BD15" s="755">
        <f t="shared" si="266"/>
        <v>2.39</v>
      </c>
      <c r="BE15" s="756">
        <f t="shared" ref="BE15" si="298">3.517/BD15</f>
        <v>1.4715481171548117</v>
      </c>
      <c r="BF15" s="757">
        <f t="shared" si="80"/>
        <v>1.4715481171548117</v>
      </c>
      <c r="BG15" s="755">
        <f t="shared" si="266"/>
        <v>2.2599999999999998</v>
      </c>
      <c r="BH15" s="756">
        <f t="shared" ref="BH15" si="299">3.517/BG15</f>
        <v>1.5561946902654868</v>
      </c>
      <c r="BI15" s="757">
        <f t="shared" si="83"/>
        <v>1.5561946902654868</v>
      </c>
      <c r="BJ15" s="755">
        <f t="shared" si="266"/>
        <v>2.15</v>
      </c>
      <c r="BK15" s="756">
        <f t="shared" ref="BK15" si="300">3.517/BJ15</f>
        <v>1.6358139534883722</v>
      </c>
      <c r="BL15" s="757">
        <f t="shared" si="86"/>
        <v>1.6358139534883722</v>
      </c>
      <c r="BM15" s="755">
        <f t="shared" si="266"/>
        <v>2.2200000000000002</v>
      </c>
      <c r="BN15" s="756">
        <f t="shared" ref="BN15" si="301">3.517/BM15</f>
        <v>1.5842342342342342</v>
      </c>
      <c r="BO15" s="757">
        <f t="shared" si="89"/>
        <v>1.5842342342342342</v>
      </c>
      <c r="BP15" s="755">
        <f t="shared" si="266"/>
        <v>1.89</v>
      </c>
      <c r="BQ15" s="756">
        <f t="shared" ref="BQ15" si="302">3.517/BP15</f>
        <v>1.860846560846561</v>
      </c>
      <c r="BR15" s="757">
        <f t="shared" si="92"/>
        <v>1.860846560846561</v>
      </c>
      <c r="BS15" s="755">
        <f t="shared" si="93"/>
        <v>1.85</v>
      </c>
      <c r="BT15" s="756">
        <f t="shared" ref="BT15" si="303">3.517/BS15</f>
        <v>1.901081081081081</v>
      </c>
      <c r="BU15" s="757">
        <f t="shared" si="95"/>
        <v>1.901081081081081</v>
      </c>
      <c r="BV15" s="755">
        <v>2.7</v>
      </c>
      <c r="BW15" s="756">
        <v>1.3025925925925901</v>
      </c>
      <c r="BX15" s="757">
        <v>1.3025925925925901</v>
      </c>
      <c r="BY15" s="755">
        <v>2.58</v>
      </c>
      <c r="BZ15" s="756">
        <v>1.3631782945736399</v>
      </c>
      <c r="CA15" s="757">
        <v>1.3631782945736399</v>
      </c>
      <c r="CB15" s="755">
        <v>2.36</v>
      </c>
      <c r="CC15" s="756">
        <v>1.49025423728814</v>
      </c>
      <c r="CD15" s="757">
        <v>1.49025423728814</v>
      </c>
      <c r="CE15" s="755">
        <v>2.16</v>
      </c>
      <c r="CF15" s="756">
        <v>1.62824074074074</v>
      </c>
      <c r="CG15" s="757">
        <v>1.62824074074074</v>
      </c>
      <c r="CH15" s="755">
        <v>2.04</v>
      </c>
      <c r="CI15" s="756">
        <v>1.72401960784314</v>
      </c>
      <c r="CJ15" s="757">
        <v>1.72401960784314</v>
      </c>
      <c r="CK15" s="755">
        <v>1.79</v>
      </c>
      <c r="CL15" s="756">
        <v>1.9648044692737401</v>
      </c>
      <c r="CM15" s="757">
        <v>1.9648044692737401</v>
      </c>
      <c r="CN15" s="755">
        <v>2.56</v>
      </c>
      <c r="CO15" s="756">
        <v>1.373828125</v>
      </c>
      <c r="CP15" s="757">
        <v>1.373828125</v>
      </c>
      <c r="CQ15" s="755">
        <v>2.2400000000000002</v>
      </c>
      <c r="CR15" s="756">
        <v>1.5700892857142901</v>
      </c>
      <c r="CS15" s="757">
        <v>1.5700892857142901</v>
      </c>
      <c r="CT15" s="755">
        <v>2.21</v>
      </c>
      <c r="CU15" s="756">
        <v>1.5914027149321299</v>
      </c>
      <c r="CV15" s="757">
        <v>1.5914027149321299</v>
      </c>
      <c r="CW15" s="755">
        <v>2.2200000000000002</v>
      </c>
      <c r="CX15" s="756">
        <v>1.5842342342342299</v>
      </c>
      <c r="CY15" s="757">
        <v>1.5842342342342299</v>
      </c>
      <c r="CZ15" s="755">
        <v>1.89</v>
      </c>
      <c r="DA15" s="756">
        <v>1.8608465608465601</v>
      </c>
      <c r="DB15" s="757">
        <v>1.8608465608465601</v>
      </c>
      <c r="DC15" s="755">
        <v>1.89</v>
      </c>
      <c r="DD15" s="756">
        <v>1.8608465608465601</v>
      </c>
      <c r="DE15" s="757">
        <v>1.8608465608465601</v>
      </c>
    </row>
    <row r="16" spans="1:109" x14ac:dyDescent="0.25">
      <c r="A16" s="759">
        <v>2007</v>
      </c>
      <c r="B16" s="755">
        <f t="shared" si="24"/>
        <v>2.7</v>
      </c>
      <c r="C16" s="756">
        <f t="shared" si="25"/>
        <v>1.3025925925925925</v>
      </c>
      <c r="D16" s="757">
        <f t="shared" si="26"/>
        <v>1.3025925925925925</v>
      </c>
      <c r="E16" s="755">
        <f t="shared" si="266"/>
        <v>2.58</v>
      </c>
      <c r="F16" s="756">
        <f t="shared" ref="F16" si="304">3.517/E16</f>
        <v>1.3631782945736433</v>
      </c>
      <c r="G16" s="757">
        <f t="shared" si="29"/>
        <v>1.3631782945736433</v>
      </c>
      <c r="H16" s="755">
        <f t="shared" si="266"/>
        <v>2.36</v>
      </c>
      <c r="I16" s="756">
        <f t="shared" ref="I16" si="305">3.517/H16</f>
        <v>1.4902542372881356</v>
      </c>
      <c r="J16" s="757">
        <f t="shared" si="32"/>
        <v>1.4902542372881356</v>
      </c>
      <c r="K16" s="755">
        <f t="shared" si="266"/>
        <v>2.82</v>
      </c>
      <c r="L16" s="756">
        <f t="shared" ref="L16" si="306">3.517/K16</f>
        <v>1.2471631205673759</v>
      </c>
      <c r="M16" s="757">
        <f t="shared" si="35"/>
        <v>1.2471631205673759</v>
      </c>
      <c r="N16" s="755">
        <f t="shared" si="266"/>
        <v>2.73</v>
      </c>
      <c r="O16" s="756">
        <f t="shared" ref="O16" si="307">3.517/N16</f>
        <v>1.2882783882783881</v>
      </c>
      <c r="P16" s="757">
        <f t="shared" si="38"/>
        <v>1.2882783882783881</v>
      </c>
      <c r="Q16" s="755">
        <f t="shared" si="266"/>
        <v>2.67</v>
      </c>
      <c r="R16" s="756">
        <f t="shared" ref="R16" si="308">3.517/Q16</f>
        <v>1.3172284644194756</v>
      </c>
      <c r="S16" s="757">
        <f t="shared" si="41"/>
        <v>1.3172284644194756</v>
      </c>
      <c r="T16" s="755">
        <f t="shared" si="266"/>
        <v>2.75</v>
      </c>
      <c r="U16" s="756">
        <f t="shared" ref="U16" si="309">3.517/T16</f>
        <v>1.2789090909090908</v>
      </c>
      <c r="V16" s="757">
        <f t="shared" si="44"/>
        <v>1.2789090909090908</v>
      </c>
      <c r="W16" s="755">
        <f t="shared" si="266"/>
        <v>2.66</v>
      </c>
      <c r="X16" s="756">
        <f t="shared" ref="X16" si="310">3.517/W16</f>
        <v>1.3221804511278195</v>
      </c>
      <c r="Y16" s="757">
        <f t="shared" si="47"/>
        <v>1.3221804511278195</v>
      </c>
      <c r="Z16" s="755">
        <f t="shared" si="266"/>
        <v>2.6</v>
      </c>
      <c r="AA16" s="756">
        <f t="shared" ref="AA16" si="311">3.517/Z16</f>
        <v>1.3526923076923076</v>
      </c>
      <c r="AB16" s="757">
        <f t="shared" si="50"/>
        <v>1.3526923076923076</v>
      </c>
      <c r="AC16" s="755">
        <f t="shared" si="266"/>
        <v>2.56</v>
      </c>
      <c r="AD16" s="756">
        <f t="shared" ref="AD16" si="312">3.517/AC16</f>
        <v>1.373828125</v>
      </c>
      <c r="AE16" s="757">
        <f t="shared" si="53"/>
        <v>1.373828125</v>
      </c>
      <c r="AF16" s="755">
        <f t="shared" si="266"/>
        <v>2.2400000000000002</v>
      </c>
      <c r="AG16" s="756">
        <f t="shared" ref="AG16" si="313">3.517/AF16</f>
        <v>1.5700892857142856</v>
      </c>
      <c r="AH16" s="757">
        <f t="shared" si="56"/>
        <v>1.5700892857142856</v>
      </c>
      <c r="AI16" s="755">
        <f t="shared" si="266"/>
        <v>2.21</v>
      </c>
      <c r="AJ16" s="756">
        <f t="shared" ref="AJ16" si="314">3.517/AI16</f>
        <v>1.5914027149321266</v>
      </c>
      <c r="AK16" s="757">
        <f t="shared" si="59"/>
        <v>1.5914027149321266</v>
      </c>
      <c r="AL16" s="755">
        <f t="shared" si="266"/>
        <v>2.16</v>
      </c>
      <c r="AM16" s="756">
        <f t="shared" ref="AM16" si="315">3.517/AL16</f>
        <v>1.6282407407407407</v>
      </c>
      <c r="AN16" s="757">
        <f t="shared" si="62"/>
        <v>1.6282407407407407</v>
      </c>
      <c r="AO16" s="755">
        <f t="shared" si="266"/>
        <v>2.04</v>
      </c>
      <c r="AP16" s="756">
        <f t="shared" ref="AP16" si="316">3.517/AO16</f>
        <v>1.7240196078431371</v>
      </c>
      <c r="AQ16" s="757">
        <f t="shared" si="65"/>
        <v>1.7240196078431371</v>
      </c>
      <c r="AR16" s="755">
        <f t="shared" si="266"/>
        <v>1.79</v>
      </c>
      <c r="AS16" s="756">
        <f t="shared" ref="AS16" si="317">3.517/AR16</f>
        <v>1.964804469273743</v>
      </c>
      <c r="AT16" s="757">
        <f t="shared" si="68"/>
        <v>1.964804469273743</v>
      </c>
      <c r="AU16" s="755">
        <f t="shared" si="266"/>
        <v>2.4300000000000002</v>
      </c>
      <c r="AV16" s="756">
        <f t="shared" ref="AV16" si="318">3.517/AU16</f>
        <v>1.4473251028806584</v>
      </c>
      <c r="AW16" s="757">
        <f t="shared" si="71"/>
        <v>1.4473251028806584</v>
      </c>
      <c r="AX16" s="755">
        <f t="shared" si="266"/>
        <v>2.3199999999999998</v>
      </c>
      <c r="AY16" s="756">
        <f t="shared" ref="AY16" si="319">3.517/AX16</f>
        <v>1.515948275862069</v>
      </c>
      <c r="AZ16" s="757">
        <f t="shared" si="74"/>
        <v>1.515948275862069</v>
      </c>
      <c r="BA16" s="755">
        <f t="shared" si="266"/>
        <v>2.2000000000000002</v>
      </c>
      <c r="BB16" s="756">
        <f t="shared" ref="BB16" si="320">3.517/BA16</f>
        <v>1.5986363636363634</v>
      </c>
      <c r="BC16" s="757">
        <f t="shared" si="77"/>
        <v>1.5986363636363634</v>
      </c>
      <c r="BD16" s="755">
        <f t="shared" si="266"/>
        <v>2.39</v>
      </c>
      <c r="BE16" s="756">
        <f t="shared" ref="BE16" si="321">3.517/BD16</f>
        <v>1.4715481171548117</v>
      </c>
      <c r="BF16" s="757">
        <f t="shared" si="80"/>
        <v>1.4715481171548117</v>
      </c>
      <c r="BG16" s="755">
        <f t="shared" si="266"/>
        <v>2.2599999999999998</v>
      </c>
      <c r="BH16" s="756">
        <f t="shared" ref="BH16" si="322">3.517/BG16</f>
        <v>1.5561946902654868</v>
      </c>
      <c r="BI16" s="757">
        <f t="shared" si="83"/>
        <v>1.5561946902654868</v>
      </c>
      <c r="BJ16" s="755">
        <f t="shared" si="266"/>
        <v>2.15</v>
      </c>
      <c r="BK16" s="756">
        <f t="shared" ref="BK16" si="323">3.517/BJ16</f>
        <v>1.6358139534883722</v>
      </c>
      <c r="BL16" s="757">
        <f t="shared" si="86"/>
        <v>1.6358139534883722</v>
      </c>
      <c r="BM16" s="755">
        <f t="shared" si="266"/>
        <v>2.2200000000000002</v>
      </c>
      <c r="BN16" s="756">
        <f t="shared" ref="BN16" si="324">3.517/BM16</f>
        <v>1.5842342342342342</v>
      </c>
      <c r="BO16" s="757">
        <f t="shared" si="89"/>
        <v>1.5842342342342342</v>
      </c>
      <c r="BP16" s="755">
        <f t="shared" si="266"/>
        <v>1.89</v>
      </c>
      <c r="BQ16" s="756">
        <f t="shared" ref="BQ16" si="325">3.517/BP16</f>
        <v>1.860846560846561</v>
      </c>
      <c r="BR16" s="757">
        <f t="shared" si="92"/>
        <v>1.860846560846561</v>
      </c>
      <c r="BS16" s="755">
        <f t="shared" si="93"/>
        <v>1.85</v>
      </c>
      <c r="BT16" s="756">
        <f t="shared" ref="BT16" si="326">3.517/BS16</f>
        <v>1.901081081081081</v>
      </c>
      <c r="BU16" s="757">
        <f t="shared" si="95"/>
        <v>1.901081081081081</v>
      </c>
      <c r="BV16" s="755">
        <v>2.7</v>
      </c>
      <c r="BW16" s="756">
        <v>1.3025925925925901</v>
      </c>
      <c r="BX16" s="757">
        <v>1.3025925925925901</v>
      </c>
      <c r="BY16" s="755">
        <v>2.58</v>
      </c>
      <c r="BZ16" s="756">
        <v>1.3631782945736399</v>
      </c>
      <c r="CA16" s="757">
        <v>1.3631782945736399</v>
      </c>
      <c r="CB16" s="755">
        <v>2.36</v>
      </c>
      <c r="CC16" s="756">
        <v>1.49025423728814</v>
      </c>
      <c r="CD16" s="757">
        <v>1.49025423728814</v>
      </c>
      <c r="CE16" s="755">
        <v>2.16</v>
      </c>
      <c r="CF16" s="756">
        <v>1.62824074074074</v>
      </c>
      <c r="CG16" s="757">
        <v>1.62824074074074</v>
      </c>
      <c r="CH16" s="755">
        <v>2.04</v>
      </c>
      <c r="CI16" s="756">
        <v>1.72401960784314</v>
      </c>
      <c r="CJ16" s="757">
        <v>1.72401960784314</v>
      </c>
      <c r="CK16" s="755">
        <v>1.79</v>
      </c>
      <c r="CL16" s="756">
        <v>1.9648044692737401</v>
      </c>
      <c r="CM16" s="757">
        <v>1.9648044692737401</v>
      </c>
      <c r="CN16" s="755">
        <v>2.56</v>
      </c>
      <c r="CO16" s="756">
        <v>1.373828125</v>
      </c>
      <c r="CP16" s="757">
        <v>1.373828125</v>
      </c>
      <c r="CQ16" s="755">
        <v>2.2400000000000002</v>
      </c>
      <c r="CR16" s="756">
        <v>1.5700892857142901</v>
      </c>
      <c r="CS16" s="757">
        <v>1.5700892857142901</v>
      </c>
      <c r="CT16" s="755">
        <v>2.21</v>
      </c>
      <c r="CU16" s="756">
        <v>1.5914027149321299</v>
      </c>
      <c r="CV16" s="757">
        <v>1.5914027149321299</v>
      </c>
      <c r="CW16" s="755">
        <v>2.2200000000000002</v>
      </c>
      <c r="CX16" s="756">
        <v>1.5842342342342299</v>
      </c>
      <c r="CY16" s="757">
        <v>1.5842342342342299</v>
      </c>
      <c r="CZ16" s="755">
        <v>1.89</v>
      </c>
      <c r="DA16" s="756">
        <v>1.8608465608465601</v>
      </c>
      <c r="DB16" s="757">
        <v>1.8608465608465601</v>
      </c>
      <c r="DC16" s="755">
        <v>1.89</v>
      </c>
      <c r="DD16" s="756">
        <v>1.8608465608465601</v>
      </c>
      <c r="DE16" s="757">
        <v>1.8608465608465601</v>
      </c>
    </row>
    <row r="17" spans="1:109" x14ac:dyDescent="0.25">
      <c r="A17" s="759">
        <v>2008</v>
      </c>
      <c r="B17" s="755">
        <f t="shared" si="24"/>
        <v>2.7</v>
      </c>
      <c r="C17" s="756">
        <f t="shared" si="25"/>
        <v>1.3025925925925925</v>
      </c>
      <c r="D17" s="757">
        <f t="shared" si="26"/>
        <v>1.3025925925925925</v>
      </c>
      <c r="E17" s="755">
        <f t="shared" si="266"/>
        <v>2.58</v>
      </c>
      <c r="F17" s="756">
        <f t="shared" ref="F17" si="327">3.517/E17</f>
        <v>1.3631782945736433</v>
      </c>
      <c r="G17" s="757">
        <f t="shared" si="29"/>
        <v>1.3631782945736433</v>
      </c>
      <c r="H17" s="755">
        <f t="shared" si="266"/>
        <v>2.36</v>
      </c>
      <c r="I17" s="756">
        <f t="shared" ref="I17" si="328">3.517/H17</f>
        <v>1.4902542372881356</v>
      </c>
      <c r="J17" s="757">
        <f t="shared" si="32"/>
        <v>1.4902542372881356</v>
      </c>
      <c r="K17" s="755">
        <f t="shared" si="266"/>
        <v>2.82</v>
      </c>
      <c r="L17" s="756">
        <f t="shared" ref="L17" si="329">3.517/K17</f>
        <v>1.2471631205673759</v>
      </c>
      <c r="M17" s="757">
        <f t="shared" si="35"/>
        <v>1.2471631205673759</v>
      </c>
      <c r="N17" s="755">
        <f t="shared" si="266"/>
        <v>2.73</v>
      </c>
      <c r="O17" s="756">
        <f t="shared" ref="O17" si="330">3.517/N17</f>
        <v>1.2882783882783881</v>
      </c>
      <c r="P17" s="757">
        <f t="shared" si="38"/>
        <v>1.2882783882783881</v>
      </c>
      <c r="Q17" s="755">
        <f t="shared" si="266"/>
        <v>2.67</v>
      </c>
      <c r="R17" s="756">
        <f t="shared" ref="R17" si="331">3.517/Q17</f>
        <v>1.3172284644194756</v>
      </c>
      <c r="S17" s="757">
        <f t="shared" si="41"/>
        <v>1.3172284644194756</v>
      </c>
      <c r="T17" s="755">
        <f t="shared" si="266"/>
        <v>2.75</v>
      </c>
      <c r="U17" s="756">
        <f t="shared" ref="U17" si="332">3.517/T17</f>
        <v>1.2789090909090908</v>
      </c>
      <c r="V17" s="757">
        <f t="shared" si="44"/>
        <v>1.2789090909090908</v>
      </c>
      <c r="W17" s="755">
        <f t="shared" si="266"/>
        <v>2.66</v>
      </c>
      <c r="X17" s="756">
        <f t="shared" ref="X17" si="333">3.517/W17</f>
        <v>1.3221804511278195</v>
      </c>
      <c r="Y17" s="757">
        <f t="shared" si="47"/>
        <v>1.3221804511278195</v>
      </c>
      <c r="Z17" s="755">
        <f t="shared" si="266"/>
        <v>2.6</v>
      </c>
      <c r="AA17" s="756">
        <f t="shared" ref="AA17" si="334">3.517/Z17</f>
        <v>1.3526923076923076</v>
      </c>
      <c r="AB17" s="757">
        <f t="shared" si="50"/>
        <v>1.3526923076923076</v>
      </c>
      <c r="AC17" s="755">
        <f t="shared" si="266"/>
        <v>2.56</v>
      </c>
      <c r="AD17" s="756">
        <f t="shared" ref="AD17" si="335">3.517/AC17</f>
        <v>1.373828125</v>
      </c>
      <c r="AE17" s="757">
        <f t="shared" si="53"/>
        <v>1.373828125</v>
      </c>
      <c r="AF17" s="755">
        <f t="shared" si="266"/>
        <v>2.2400000000000002</v>
      </c>
      <c r="AG17" s="756">
        <f t="shared" ref="AG17" si="336">3.517/AF17</f>
        <v>1.5700892857142856</v>
      </c>
      <c r="AH17" s="757">
        <f t="shared" si="56"/>
        <v>1.5700892857142856</v>
      </c>
      <c r="AI17" s="755">
        <f t="shared" si="266"/>
        <v>2.21</v>
      </c>
      <c r="AJ17" s="756">
        <f t="shared" ref="AJ17" si="337">3.517/AI17</f>
        <v>1.5914027149321266</v>
      </c>
      <c r="AK17" s="757">
        <f t="shared" si="59"/>
        <v>1.5914027149321266</v>
      </c>
      <c r="AL17" s="755">
        <f t="shared" si="266"/>
        <v>2.16</v>
      </c>
      <c r="AM17" s="756">
        <f t="shared" ref="AM17" si="338">3.517/AL17</f>
        <v>1.6282407407407407</v>
      </c>
      <c r="AN17" s="757">
        <f t="shared" si="62"/>
        <v>1.6282407407407407</v>
      </c>
      <c r="AO17" s="755">
        <f t="shared" si="266"/>
        <v>2.04</v>
      </c>
      <c r="AP17" s="756">
        <f t="shared" ref="AP17" si="339">3.517/AO17</f>
        <v>1.7240196078431371</v>
      </c>
      <c r="AQ17" s="757">
        <f t="shared" si="65"/>
        <v>1.7240196078431371</v>
      </c>
      <c r="AR17" s="755">
        <f t="shared" si="266"/>
        <v>1.79</v>
      </c>
      <c r="AS17" s="756">
        <f t="shared" ref="AS17" si="340">3.517/AR17</f>
        <v>1.964804469273743</v>
      </c>
      <c r="AT17" s="757">
        <f t="shared" si="68"/>
        <v>1.964804469273743</v>
      </c>
      <c r="AU17" s="755">
        <f t="shared" si="266"/>
        <v>2.4300000000000002</v>
      </c>
      <c r="AV17" s="756">
        <f t="shared" ref="AV17" si="341">3.517/AU17</f>
        <v>1.4473251028806584</v>
      </c>
      <c r="AW17" s="757">
        <f t="shared" si="71"/>
        <v>1.4473251028806584</v>
      </c>
      <c r="AX17" s="755">
        <f t="shared" si="266"/>
        <v>2.3199999999999998</v>
      </c>
      <c r="AY17" s="756">
        <f t="shared" ref="AY17" si="342">3.517/AX17</f>
        <v>1.515948275862069</v>
      </c>
      <c r="AZ17" s="757">
        <f t="shared" si="74"/>
        <v>1.515948275862069</v>
      </c>
      <c r="BA17" s="755">
        <f t="shared" si="266"/>
        <v>2.2000000000000002</v>
      </c>
      <c r="BB17" s="756">
        <f t="shared" ref="BB17" si="343">3.517/BA17</f>
        <v>1.5986363636363634</v>
      </c>
      <c r="BC17" s="757">
        <f t="shared" si="77"/>
        <v>1.5986363636363634</v>
      </c>
      <c r="BD17" s="755">
        <f t="shared" si="266"/>
        <v>2.39</v>
      </c>
      <c r="BE17" s="756">
        <f t="shared" ref="BE17" si="344">3.517/BD17</f>
        <v>1.4715481171548117</v>
      </c>
      <c r="BF17" s="757">
        <f t="shared" si="80"/>
        <v>1.4715481171548117</v>
      </c>
      <c r="BG17" s="755">
        <f t="shared" si="266"/>
        <v>2.2599999999999998</v>
      </c>
      <c r="BH17" s="756">
        <f t="shared" ref="BH17" si="345">3.517/BG17</f>
        <v>1.5561946902654868</v>
      </c>
      <c r="BI17" s="757">
        <f t="shared" si="83"/>
        <v>1.5561946902654868</v>
      </c>
      <c r="BJ17" s="755">
        <f t="shared" si="266"/>
        <v>2.15</v>
      </c>
      <c r="BK17" s="756">
        <f t="shared" ref="BK17" si="346">3.517/BJ17</f>
        <v>1.6358139534883722</v>
      </c>
      <c r="BL17" s="757">
        <f t="shared" si="86"/>
        <v>1.6358139534883722</v>
      </c>
      <c r="BM17" s="755">
        <f t="shared" si="266"/>
        <v>2.2200000000000002</v>
      </c>
      <c r="BN17" s="756">
        <f t="shared" ref="BN17" si="347">3.517/BM17</f>
        <v>1.5842342342342342</v>
      </c>
      <c r="BO17" s="757">
        <f t="shared" si="89"/>
        <v>1.5842342342342342</v>
      </c>
      <c r="BP17" s="755">
        <f t="shared" si="266"/>
        <v>1.89</v>
      </c>
      <c r="BQ17" s="756">
        <f t="shared" ref="BQ17" si="348">3.517/BP17</f>
        <v>1.860846560846561</v>
      </c>
      <c r="BR17" s="757">
        <f t="shared" si="92"/>
        <v>1.860846560846561</v>
      </c>
      <c r="BS17" s="755">
        <f t="shared" si="93"/>
        <v>1.85</v>
      </c>
      <c r="BT17" s="756">
        <f t="shared" ref="BT17" si="349">3.517/BS17</f>
        <v>1.901081081081081</v>
      </c>
      <c r="BU17" s="757">
        <f t="shared" si="95"/>
        <v>1.901081081081081</v>
      </c>
      <c r="BV17" s="755">
        <v>2.7</v>
      </c>
      <c r="BW17" s="756">
        <v>1.3025925925925901</v>
      </c>
      <c r="BX17" s="757">
        <v>1.3025925925925901</v>
      </c>
      <c r="BY17" s="755">
        <v>2.58</v>
      </c>
      <c r="BZ17" s="756">
        <v>1.3631782945736399</v>
      </c>
      <c r="CA17" s="757">
        <v>1.3631782945736399</v>
      </c>
      <c r="CB17" s="755">
        <v>2.36</v>
      </c>
      <c r="CC17" s="756">
        <v>1.49025423728814</v>
      </c>
      <c r="CD17" s="757">
        <v>1.49025423728814</v>
      </c>
      <c r="CE17" s="755">
        <v>2.16</v>
      </c>
      <c r="CF17" s="756">
        <v>1.62824074074074</v>
      </c>
      <c r="CG17" s="757">
        <v>1.62824074074074</v>
      </c>
      <c r="CH17" s="755">
        <v>2.04</v>
      </c>
      <c r="CI17" s="756">
        <v>1.72401960784314</v>
      </c>
      <c r="CJ17" s="757">
        <v>1.72401960784314</v>
      </c>
      <c r="CK17" s="755">
        <v>1.79</v>
      </c>
      <c r="CL17" s="756">
        <v>1.9648044692737401</v>
      </c>
      <c r="CM17" s="757">
        <v>1.9648044692737401</v>
      </c>
      <c r="CN17" s="755">
        <v>2.56</v>
      </c>
      <c r="CO17" s="756">
        <v>1.373828125</v>
      </c>
      <c r="CP17" s="757">
        <v>1.373828125</v>
      </c>
      <c r="CQ17" s="755">
        <v>2.2400000000000002</v>
      </c>
      <c r="CR17" s="756">
        <v>1.5700892857142901</v>
      </c>
      <c r="CS17" s="757">
        <v>1.5700892857142901</v>
      </c>
      <c r="CT17" s="755">
        <v>2.21</v>
      </c>
      <c r="CU17" s="756">
        <v>1.5914027149321299</v>
      </c>
      <c r="CV17" s="757">
        <v>1.5914027149321299</v>
      </c>
      <c r="CW17" s="755">
        <v>2.2200000000000002</v>
      </c>
      <c r="CX17" s="756">
        <v>1.5842342342342299</v>
      </c>
      <c r="CY17" s="757">
        <v>1.5842342342342299</v>
      </c>
      <c r="CZ17" s="755">
        <v>1.89</v>
      </c>
      <c r="DA17" s="756">
        <v>1.8608465608465601</v>
      </c>
      <c r="DB17" s="757">
        <v>1.8608465608465601</v>
      </c>
      <c r="DC17" s="755">
        <v>1.89</v>
      </c>
      <c r="DD17" s="756">
        <v>1.8608465608465601</v>
      </c>
      <c r="DE17" s="757">
        <v>1.8608465608465601</v>
      </c>
    </row>
    <row r="18" spans="1:109" x14ac:dyDescent="0.25">
      <c r="A18" s="759">
        <v>2009</v>
      </c>
      <c r="B18" s="755">
        <f t="shared" si="24"/>
        <v>2.7</v>
      </c>
      <c r="C18" s="756">
        <f t="shared" si="25"/>
        <v>1.3025925925925925</v>
      </c>
      <c r="D18" s="757">
        <f t="shared" si="26"/>
        <v>1.3025925925925925</v>
      </c>
      <c r="E18" s="755">
        <f t="shared" si="266"/>
        <v>2.58</v>
      </c>
      <c r="F18" s="756">
        <f t="shared" ref="F18" si="350">3.517/E18</f>
        <v>1.3631782945736433</v>
      </c>
      <c r="G18" s="757">
        <f t="shared" si="29"/>
        <v>1.3631782945736433</v>
      </c>
      <c r="H18" s="755">
        <f t="shared" si="266"/>
        <v>2.36</v>
      </c>
      <c r="I18" s="756">
        <f t="shared" ref="I18" si="351">3.517/H18</f>
        <v>1.4902542372881356</v>
      </c>
      <c r="J18" s="757">
        <f t="shared" si="32"/>
        <v>1.4902542372881356</v>
      </c>
      <c r="K18" s="755">
        <f t="shared" si="266"/>
        <v>2.82</v>
      </c>
      <c r="L18" s="756">
        <f t="shared" ref="L18" si="352">3.517/K18</f>
        <v>1.2471631205673759</v>
      </c>
      <c r="M18" s="757">
        <f t="shared" si="35"/>
        <v>1.2471631205673759</v>
      </c>
      <c r="N18" s="755">
        <f t="shared" si="266"/>
        <v>2.73</v>
      </c>
      <c r="O18" s="756">
        <f t="shared" ref="O18" si="353">3.517/N18</f>
        <v>1.2882783882783881</v>
      </c>
      <c r="P18" s="757">
        <f t="shared" si="38"/>
        <v>1.2882783882783881</v>
      </c>
      <c r="Q18" s="755">
        <f t="shared" si="266"/>
        <v>2.67</v>
      </c>
      <c r="R18" s="756">
        <f t="shared" ref="R18" si="354">3.517/Q18</f>
        <v>1.3172284644194756</v>
      </c>
      <c r="S18" s="757">
        <f t="shared" si="41"/>
        <v>1.3172284644194756</v>
      </c>
      <c r="T18" s="755">
        <f t="shared" si="266"/>
        <v>2.75</v>
      </c>
      <c r="U18" s="756">
        <f t="shared" ref="U18" si="355">3.517/T18</f>
        <v>1.2789090909090908</v>
      </c>
      <c r="V18" s="757">
        <f t="shared" si="44"/>
        <v>1.2789090909090908</v>
      </c>
      <c r="W18" s="755">
        <f t="shared" si="266"/>
        <v>2.66</v>
      </c>
      <c r="X18" s="756">
        <f t="shared" ref="X18" si="356">3.517/W18</f>
        <v>1.3221804511278195</v>
      </c>
      <c r="Y18" s="757">
        <f t="shared" si="47"/>
        <v>1.3221804511278195</v>
      </c>
      <c r="Z18" s="755">
        <f t="shared" si="266"/>
        <v>2.6</v>
      </c>
      <c r="AA18" s="756">
        <f t="shared" ref="AA18" si="357">3.517/Z18</f>
        <v>1.3526923076923076</v>
      </c>
      <c r="AB18" s="757">
        <f t="shared" si="50"/>
        <v>1.3526923076923076</v>
      </c>
      <c r="AC18" s="755">
        <f t="shared" si="266"/>
        <v>2.56</v>
      </c>
      <c r="AD18" s="756">
        <f t="shared" ref="AD18" si="358">3.517/AC18</f>
        <v>1.373828125</v>
      </c>
      <c r="AE18" s="757">
        <f t="shared" si="53"/>
        <v>1.373828125</v>
      </c>
      <c r="AF18" s="755">
        <f t="shared" si="266"/>
        <v>2.2400000000000002</v>
      </c>
      <c r="AG18" s="756">
        <f t="shared" ref="AG18" si="359">3.517/AF18</f>
        <v>1.5700892857142856</v>
      </c>
      <c r="AH18" s="757">
        <f t="shared" si="56"/>
        <v>1.5700892857142856</v>
      </c>
      <c r="AI18" s="755">
        <f t="shared" si="266"/>
        <v>2.21</v>
      </c>
      <c r="AJ18" s="756">
        <f t="shared" ref="AJ18" si="360">3.517/AI18</f>
        <v>1.5914027149321266</v>
      </c>
      <c r="AK18" s="757">
        <f t="shared" si="59"/>
        <v>1.5914027149321266</v>
      </c>
      <c r="AL18" s="755">
        <f t="shared" si="266"/>
        <v>2.16</v>
      </c>
      <c r="AM18" s="756">
        <f t="shared" ref="AM18" si="361">3.517/AL18</f>
        <v>1.6282407407407407</v>
      </c>
      <c r="AN18" s="757">
        <f t="shared" si="62"/>
        <v>1.6282407407407407</v>
      </c>
      <c r="AO18" s="755">
        <f t="shared" si="266"/>
        <v>2.04</v>
      </c>
      <c r="AP18" s="756">
        <f t="shared" ref="AP18" si="362">3.517/AO18</f>
        <v>1.7240196078431371</v>
      </c>
      <c r="AQ18" s="757">
        <f t="shared" si="65"/>
        <v>1.7240196078431371</v>
      </c>
      <c r="AR18" s="755">
        <f t="shared" si="266"/>
        <v>1.79</v>
      </c>
      <c r="AS18" s="756">
        <f t="shared" ref="AS18" si="363">3.517/AR18</f>
        <v>1.964804469273743</v>
      </c>
      <c r="AT18" s="757">
        <f t="shared" si="68"/>
        <v>1.964804469273743</v>
      </c>
      <c r="AU18" s="755">
        <f t="shared" si="266"/>
        <v>2.4300000000000002</v>
      </c>
      <c r="AV18" s="756">
        <f t="shared" ref="AV18" si="364">3.517/AU18</f>
        <v>1.4473251028806584</v>
      </c>
      <c r="AW18" s="757">
        <f t="shared" si="71"/>
        <v>1.4473251028806584</v>
      </c>
      <c r="AX18" s="755">
        <f t="shared" si="266"/>
        <v>2.3199999999999998</v>
      </c>
      <c r="AY18" s="756">
        <f t="shared" ref="AY18" si="365">3.517/AX18</f>
        <v>1.515948275862069</v>
      </c>
      <c r="AZ18" s="757">
        <f t="shared" si="74"/>
        <v>1.515948275862069</v>
      </c>
      <c r="BA18" s="755">
        <f t="shared" si="266"/>
        <v>2.2000000000000002</v>
      </c>
      <c r="BB18" s="756">
        <f t="shared" ref="BB18" si="366">3.517/BA18</f>
        <v>1.5986363636363634</v>
      </c>
      <c r="BC18" s="757">
        <f t="shared" si="77"/>
        <v>1.5986363636363634</v>
      </c>
      <c r="BD18" s="755">
        <f t="shared" si="266"/>
        <v>2.39</v>
      </c>
      <c r="BE18" s="756">
        <f t="shared" ref="BE18" si="367">3.517/BD18</f>
        <v>1.4715481171548117</v>
      </c>
      <c r="BF18" s="757">
        <f t="shared" si="80"/>
        <v>1.4715481171548117</v>
      </c>
      <c r="BG18" s="755">
        <f t="shared" si="266"/>
        <v>2.2599999999999998</v>
      </c>
      <c r="BH18" s="756">
        <f t="shared" ref="BH18" si="368">3.517/BG18</f>
        <v>1.5561946902654868</v>
      </c>
      <c r="BI18" s="757">
        <f t="shared" si="83"/>
        <v>1.5561946902654868</v>
      </c>
      <c r="BJ18" s="755">
        <f t="shared" si="266"/>
        <v>2.15</v>
      </c>
      <c r="BK18" s="756">
        <f t="shared" ref="BK18" si="369">3.517/BJ18</f>
        <v>1.6358139534883722</v>
      </c>
      <c r="BL18" s="757">
        <f t="shared" si="86"/>
        <v>1.6358139534883722</v>
      </c>
      <c r="BM18" s="755">
        <f t="shared" si="266"/>
        <v>2.2200000000000002</v>
      </c>
      <c r="BN18" s="756">
        <f t="shared" ref="BN18" si="370">3.517/BM18</f>
        <v>1.5842342342342342</v>
      </c>
      <c r="BO18" s="757">
        <f t="shared" si="89"/>
        <v>1.5842342342342342</v>
      </c>
      <c r="BP18" s="755">
        <f t="shared" si="266"/>
        <v>1.89</v>
      </c>
      <c r="BQ18" s="756">
        <f t="shared" ref="BQ18" si="371">3.517/BP18</f>
        <v>1.860846560846561</v>
      </c>
      <c r="BR18" s="757">
        <f t="shared" si="92"/>
        <v>1.860846560846561</v>
      </c>
      <c r="BS18" s="755">
        <f t="shared" si="93"/>
        <v>1.85</v>
      </c>
      <c r="BT18" s="756">
        <f t="shared" ref="BT18" si="372">3.517/BS18</f>
        <v>1.901081081081081</v>
      </c>
      <c r="BU18" s="757">
        <f t="shared" si="95"/>
        <v>1.901081081081081</v>
      </c>
      <c r="BV18" s="755">
        <v>2.7</v>
      </c>
      <c r="BW18" s="756">
        <v>1.3025925925925901</v>
      </c>
      <c r="BX18" s="757">
        <v>1.3025925925925901</v>
      </c>
      <c r="BY18" s="755">
        <v>2.58</v>
      </c>
      <c r="BZ18" s="756">
        <v>1.3631782945736399</v>
      </c>
      <c r="CA18" s="757">
        <v>1.3631782945736399</v>
      </c>
      <c r="CB18" s="755">
        <v>2.36</v>
      </c>
      <c r="CC18" s="756">
        <v>1.49025423728814</v>
      </c>
      <c r="CD18" s="757">
        <v>1.49025423728814</v>
      </c>
      <c r="CE18" s="755">
        <v>2.16</v>
      </c>
      <c r="CF18" s="756">
        <v>1.62824074074074</v>
      </c>
      <c r="CG18" s="757">
        <v>1.62824074074074</v>
      </c>
      <c r="CH18" s="755">
        <v>2.04</v>
      </c>
      <c r="CI18" s="756">
        <v>1.72401960784314</v>
      </c>
      <c r="CJ18" s="757">
        <v>1.72401960784314</v>
      </c>
      <c r="CK18" s="755">
        <v>1.79</v>
      </c>
      <c r="CL18" s="756">
        <v>1.9648044692737401</v>
      </c>
      <c r="CM18" s="757">
        <v>1.9648044692737401</v>
      </c>
      <c r="CN18" s="755">
        <v>2.56</v>
      </c>
      <c r="CO18" s="756">
        <v>1.373828125</v>
      </c>
      <c r="CP18" s="757">
        <v>1.373828125</v>
      </c>
      <c r="CQ18" s="755">
        <v>2.2400000000000002</v>
      </c>
      <c r="CR18" s="756">
        <v>1.5700892857142901</v>
      </c>
      <c r="CS18" s="757">
        <v>1.5700892857142901</v>
      </c>
      <c r="CT18" s="755">
        <v>2.21</v>
      </c>
      <c r="CU18" s="756">
        <v>1.5914027149321299</v>
      </c>
      <c r="CV18" s="757">
        <v>1.5914027149321299</v>
      </c>
      <c r="CW18" s="755">
        <v>2.2200000000000002</v>
      </c>
      <c r="CX18" s="756">
        <v>1.5842342342342299</v>
      </c>
      <c r="CY18" s="757">
        <v>1.5842342342342299</v>
      </c>
      <c r="CZ18" s="755">
        <v>1.89</v>
      </c>
      <c r="DA18" s="756">
        <v>1.8608465608465601</v>
      </c>
      <c r="DB18" s="757">
        <v>1.8608465608465601</v>
      </c>
      <c r="DC18" s="755">
        <v>1.89</v>
      </c>
      <c r="DD18" s="756">
        <v>1.8608465608465601</v>
      </c>
      <c r="DE18" s="757">
        <v>1.8608465608465601</v>
      </c>
    </row>
    <row r="19" spans="1:109" x14ac:dyDescent="0.25">
      <c r="A19" s="759">
        <v>2010</v>
      </c>
      <c r="B19" s="755">
        <f t="shared" si="24"/>
        <v>2.7</v>
      </c>
      <c r="C19" s="756">
        <f t="shared" si="25"/>
        <v>1.3025925925925925</v>
      </c>
      <c r="D19" s="757">
        <f t="shared" si="26"/>
        <v>1.3025925925925925</v>
      </c>
      <c r="E19" s="755">
        <f t="shared" si="266"/>
        <v>2.58</v>
      </c>
      <c r="F19" s="756">
        <f t="shared" ref="F19" si="373">3.517/E19</f>
        <v>1.3631782945736433</v>
      </c>
      <c r="G19" s="757">
        <f t="shared" si="29"/>
        <v>1.3631782945736433</v>
      </c>
      <c r="H19" s="755">
        <f t="shared" si="266"/>
        <v>2.36</v>
      </c>
      <c r="I19" s="756">
        <f t="shared" ref="I19" si="374">3.517/H19</f>
        <v>1.4902542372881356</v>
      </c>
      <c r="J19" s="757">
        <f t="shared" si="32"/>
        <v>1.4902542372881356</v>
      </c>
      <c r="K19" s="755">
        <f t="shared" si="266"/>
        <v>2.82</v>
      </c>
      <c r="L19" s="756">
        <f t="shared" ref="L19" si="375">3.517/K19</f>
        <v>1.2471631205673759</v>
      </c>
      <c r="M19" s="757">
        <f t="shared" si="35"/>
        <v>1.2471631205673759</v>
      </c>
      <c r="N19" s="755">
        <f t="shared" si="266"/>
        <v>2.73</v>
      </c>
      <c r="O19" s="756">
        <f t="shared" ref="O19" si="376">3.517/N19</f>
        <v>1.2882783882783881</v>
      </c>
      <c r="P19" s="757">
        <f t="shared" si="38"/>
        <v>1.2882783882783881</v>
      </c>
      <c r="Q19" s="755">
        <f t="shared" si="266"/>
        <v>2.67</v>
      </c>
      <c r="R19" s="756">
        <f t="shared" ref="R19" si="377">3.517/Q19</f>
        <v>1.3172284644194756</v>
      </c>
      <c r="S19" s="757">
        <f t="shared" si="41"/>
        <v>1.3172284644194756</v>
      </c>
      <c r="T19" s="755">
        <f t="shared" si="266"/>
        <v>2.75</v>
      </c>
      <c r="U19" s="756">
        <f t="shared" ref="U19" si="378">3.517/T19</f>
        <v>1.2789090909090908</v>
      </c>
      <c r="V19" s="757">
        <f t="shared" si="44"/>
        <v>1.2789090909090908</v>
      </c>
      <c r="W19" s="755">
        <f t="shared" si="266"/>
        <v>2.66</v>
      </c>
      <c r="X19" s="756">
        <f t="shared" ref="X19" si="379">3.517/W19</f>
        <v>1.3221804511278195</v>
      </c>
      <c r="Y19" s="757">
        <f t="shared" si="47"/>
        <v>1.3221804511278195</v>
      </c>
      <c r="Z19" s="755">
        <f t="shared" si="266"/>
        <v>2.6</v>
      </c>
      <c r="AA19" s="756">
        <f t="shared" ref="AA19" si="380">3.517/Z19</f>
        <v>1.3526923076923076</v>
      </c>
      <c r="AB19" s="757">
        <f t="shared" si="50"/>
        <v>1.3526923076923076</v>
      </c>
      <c r="AC19" s="755">
        <f t="shared" si="266"/>
        <v>2.56</v>
      </c>
      <c r="AD19" s="756">
        <f t="shared" ref="AD19" si="381">3.517/AC19</f>
        <v>1.373828125</v>
      </c>
      <c r="AE19" s="757">
        <f t="shared" si="53"/>
        <v>1.373828125</v>
      </c>
      <c r="AF19" s="755">
        <f t="shared" si="266"/>
        <v>2.2400000000000002</v>
      </c>
      <c r="AG19" s="756">
        <f t="shared" ref="AG19" si="382">3.517/AF19</f>
        <v>1.5700892857142856</v>
      </c>
      <c r="AH19" s="757">
        <f t="shared" si="56"/>
        <v>1.5700892857142856</v>
      </c>
      <c r="AI19" s="755">
        <f t="shared" si="266"/>
        <v>2.21</v>
      </c>
      <c r="AJ19" s="756">
        <f t="shared" ref="AJ19" si="383">3.517/AI19</f>
        <v>1.5914027149321266</v>
      </c>
      <c r="AK19" s="757">
        <f t="shared" si="59"/>
        <v>1.5914027149321266</v>
      </c>
      <c r="AL19" s="755">
        <f t="shared" si="266"/>
        <v>2.16</v>
      </c>
      <c r="AM19" s="756">
        <f t="shared" ref="AM19" si="384">3.517/AL19</f>
        <v>1.6282407407407407</v>
      </c>
      <c r="AN19" s="757">
        <f t="shared" si="62"/>
        <v>1.6282407407407407</v>
      </c>
      <c r="AO19" s="755">
        <f t="shared" si="266"/>
        <v>2.04</v>
      </c>
      <c r="AP19" s="756">
        <f t="shared" ref="AP19" si="385">3.517/AO19</f>
        <v>1.7240196078431371</v>
      </c>
      <c r="AQ19" s="757">
        <f t="shared" si="65"/>
        <v>1.7240196078431371</v>
      </c>
      <c r="AR19" s="755">
        <f t="shared" si="266"/>
        <v>1.79</v>
      </c>
      <c r="AS19" s="756">
        <f t="shared" ref="AS19" si="386">3.517/AR19</f>
        <v>1.964804469273743</v>
      </c>
      <c r="AT19" s="757">
        <f t="shared" si="68"/>
        <v>1.964804469273743</v>
      </c>
      <c r="AU19" s="755">
        <f t="shared" si="266"/>
        <v>2.4300000000000002</v>
      </c>
      <c r="AV19" s="756">
        <f t="shared" ref="AV19" si="387">3.517/AU19</f>
        <v>1.4473251028806584</v>
      </c>
      <c r="AW19" s="757">
        <f t="shared" si="71"/>
        <v>1.4473251028806584</v>
      </c>
      <c r="AX19" s="755">
        <f t="shared" si="266"/>
        <v>2.3199999999999998</v>
      </c>
      <c r="AY19" s="756">
        <f t="shared" ref="AY19" si="388">3.517/AX19</f>
        <v>1.515948275862069</v>
      </c>
      <c r="AZ19" s="757">
        <f t="shared" si="74"/>
        <v>1.515948275862069</v>
      </c>
      <c r="BA19" s="755">
        <f t="shared" si="266"/>
        <v>2.2000000000000002</v>
      </c>
      <c r="BB19" s="756">
        <f t="shared" ref="BB19" si="389">3.517/BA19</f>
        <v>1.5986363636363634</v>
      </c>
      <c r="BC19" s="757">
        <f t="shared" si="77"/>
        <v>1.5986363636363634</v>
      </c>
      <c r="BD19" s="755">
        <f t="shared" si="266"/>
        <v>2.39</v>
      </c>
      <c r="BE19" s="756">
        <f t="shared" ref="BE19" si="390">3.517/BD19</f>
        <v>1.4715481171548117</v>
      </c>
      <c r="BF19" s="757">
        <f t="shared" si="80"/>
        <v>1.4715481171548117</v>
      </c>
      <c r="BG19" s="755">
        <f t="shared" si="266"/>
        <v>2.2599999999999998</v>
      </c>
      <c r="BH19" s="756">
        <f t="shared" ref="BH19" si="391">3.517/BG19</f>
        <v>1.5561946902654868</v>
      </c>
      <c r="BI19" s="757">
        <f t="shared" si="83"/>
        <v>1.5561946902654868</v>
      </c>
      <c r="BJ19" s="755">
        <f t="shared" si="266"/>
        <v>2.15</v>
      </c>
      <c r="BK19" s="756">
        <f t="shared" ref="BK19" si="392">3.517/BJ19</f>
        <v>1.6358139534883722</v>
      </c>
      <c r="BL19" s="757">
        <f t="shared" si="86"/>
        <v>1.6358139534883722</v>
      </c>
      <c r="BM19" s="755">
        <f t="shared" si="266"/>
        <v>2.2200000000000002</v>
      </c>
      <c r="BN19" s="756">
        <f t="shared" ref="BN19" si="393">3.517/BM19</f>
        <v>1.5842342342342342</v>
      </c>
      <c r="BO19" s="757">
        <f t="shared" si="89"/>
        <v>1.5842342342342342</v>
      </c>
      <c r="BP19" s="755">
        <f t="shared" si="266"/>
        <v>1.89</v>
      </c>
      <c r="BQ19" s="756">
        <f t="shared" ref="BQ19" si="394">3.517/BP19</f>
        <v>1.860846560846561</v>
      </c>
      <c r="BR19" s="757">
        <f t="shared" si="92"/>
        <v>1.860846560846561</v>
      </c>
      <c r="BS19" s="755">
        <f t="shared" ref="BS19:BS24" si="395">BS$36</f>
        <v>1.85</v>
      </c>
      <c r="BT19" s="756">
        <f t="shared" ref="BT19" si="396">3.517/BS19</f>
        <v>1.901081081081081</v>
      </c>
      <c r="BU19" s="757">
        <f t="shared" si="95"/>
        <v>1.901081081081081</v>
      </c>
      <c r="BV19" s="755">
        <v>2.7</v>
      </c>
      <c r="BW19" s="756">
        <v>1.3025925925925901</v>
      </c>
      <c r="BX19" s="757">
        <v>1.3025925925925901</v>
      </c>
      <c r="BY19" s="755">
        <v>2.58</v>
      </c>
      <c r="BZ19" s="756">
        <v>1.3631782945736399</v>
      </c>
      <c r="CA19" s="757">
        <v>1.3631782945736399</v>
      </c>
      <c r="CB19" s="755">
        <v>2.36</v>
      </c>
      <c r="CC19" s="756">
        <v>1.49025423728814</v>
      </c>
      <c r="CD19" s="757">
        <v>1.49025423728814</v>
      </c>
      <c r="CE19" s="755">
        <v>2.16</v>
      </c>
      <c r="CF19" s="756">
        <v>1.62824074074074</v>
      </c>
      <c r="CG19" s="757">
        <v>1.62824074074074</v>
      </c>
      <c r="CH19" s="755">
        <v>2.04</v>
      </c>
      <c r="CI19" s="756">
        <v>1.72401960784314</v>
      </c>
      <c r="CJ19" s="757">
        <v>1.72401960784314</v>
      </c>
      <c r="CK19" s="755">
        <v>1.79</v>
      </c>
      <c r="CL19" s="756">
        <v>1.9648044692737401</v>
      </c>
      <c r="CM19" s="757">
        <v>1.9648044692737401</v>
      </c>
      <c r="CN19" s="755">
        <v>2.56</v>
      </c>
      <c r="CO19" s="756">
        <v>1.373828125</v>
      </c>
      <c r="CP19" s="757">
        <v>1.373828125</v>
      </c>
      <c r="CQ19" s="755">
        <v>2.2400000000000002</v>
      </c>
      <c r="CR19" s="756">
        <v>1.5700892857142901</v>
      </c>
      <c r="CS19" s="757">
        <v>1.5700892857142901</v>
      </c>
      <c r="CT19" s="755">
        <v>2.21</v>
      </c>
      <c r="CU19" s="756">
        <v>1.5914027149321299</v>
      </c>
      <c r="CV19" s="757">
        <v>1.5914027149321299</v>
      </c>
      <c r="CW19" s="755">
        <v>2.2200000000000002</v>
      </c>
      <c r="CX19" s="756">
        <v>1.5842342342342299</v>
      </c>
      <c r="CY19" s="757">
        <v>1.5842342342342299</v>
      </c>
      <c r="CZ19" s="755">
        <v>1.89</v>
      </c>
      <c r="DA19" s="756">
        <v>1.8608465608465601</v>
      </c>
      <c r="DB19" s="757">
        <v>1.8608465608465601</v>
      </c>
      <c r="DC19" s="755">
        <v>1.89</v>
      </c>
      <c r="DD19" s="756">
        <v>1.8608465608465601</v>
      </c>
      <c r="DE19" s="757">
        <v>1.8608465608465601</v>
      </c>
    </row>
    <row r="20" spans="1:109" x14ac:dyDescent="0.25">
      <c r="A20" s="759">
        <v>2011</v>
      </c>
      <c r="B20" s="755">
        <f t="shared" si="24"/>
        <v>2.7</v>
      </c>
      <c r="C20" s="756">
        <f t="shared" si="25"/>
        <v>1.3025925925925925</v>
      </c>
      <c r="D20" s="757">
        <f t="shared" si="26"/>
        <v>1.3025925925925925</v>
      </c>
      <c r="E20" s="755">
        <f t="shared" si="266"/>
        <v>2.58</v>
      </c>
      <c r="F20" s="756">
        <f t="shared" ref="F20" si="397">3.517/E20</f>
        <v>1.3631782945736433</v>
      </c>
      <c r="G20" s="757">
        <f t="shared" si="29"/>
        <v>1.3631782945736433</v>
      </c>
      <c r="H20" s="755">
        <f t="shared" si="266"/>
        <v>2.36</v>
      </c>
      <c r="I20" s="756">
        <f t="shared" ref="I20" si="398">3.517/H20</f>
        <v>1.4902542372881356</v>
      </c>
      <c r="J20" s="757">
        <f t="shared" si="32"/>
        <v>1.4902542372881356</v>
      </c>
      <c r="K20" s="755">
        <f t="shared" si="266"/>
        <v>2.82</v>
      </c>
      <c r="L20" s="756">
        <f t="shared" ref="L20" si="399">3.517/K20</f>
        <v>1.2471631205673759</v>
      </c>
      <c r="M20" s="757">
        <f t="shared" si="35"/>
        <v>1.2471631205673759</v>
      </c>
      <c r="N20" s="755">
        <f t="shared" si="266"/>
        <v>2.73</v>
      </c>
      <c r="O20" s="756">
        <f t="shared" ref="O20" si="400">3.517/N20</f>
        <v>1.2882783882783881</v>
      </c>
      <c r="P20" s="757">
        <f t="shared" si="38"/>
        <v>1.2882783882783881</v>
      </c>
      <c r="Q20" s="755">
        <f t="shared" si="266"/>
        <v>2.67</v>
      </c>
      <c r="R20" s="756">
        <f t="shared" ref="R20" si="401">3.517/Q20</f>
        <v>1.3172284644194756</v>
      </c>
      <c r="S20" s="757">
        <f t="shared" si="41"/>
        <v>1.3172284644194756</v>
      </c>
      <c r="T20" s="755">
        <f t="shared" si="266"/>
        <v>2.75</v>
      </c>
      <c r="U20" s="756">
        <f t="shared" ref="U20" si="402">3.517/T20</f>
        <v>1.2789090909090908</v>
      </c>
      <c r="V20" s="757">
        <f t="shared" si="44"/>
        <v>1.2789090909090908</v>
      </c>
      <c r="W20" s="755">
        <f t="shared" si="266"/>
        <v>2.66</v>
      </c>
      <c r="X20" s="756">
        <f t="shared" ref="X20" si="403">3.517/W20</f>
        <v>1.3221804511278195</v>
      </c>
      <c r="Y20" s="757">
        <f t="shared" si="47"/>
        <v>1.3221804511278195</v>
      </c>
      <c r="Z20" s="755">
        <f t="shared" si="266"/>
        <v>2.6</v>
      </c>
      <c r="AA20" s="756">
        <f t="shared" ref="AA20" si="404">3.517/Z20</f>
        <v>1.3526923076923076</v>
      </c>
      <c r="AB20" s="757">
        <f t="shared" si="50"/>
        <v>1.3526923076923076</v>
      </c>
      <c r="AC20" s="755">
        <f t="shared" si="266"/>
        <v>2.56</v>
      </c>
      <c r="AD20" s="756">
        <f t="shared" ref="AD20" si="405">3.517/AC20</f>
        <v>1.373828125</v>
      </c>
      <c r="AE20" s="757">
        <f t="shared" si="53"/>
        <v>1.373828125</v>
      </c>
      <c r="AF20" s="755">
        <f t="shared" si="266"/>
        <v>2.2400000000000002</v>
      </c>
      <c r="AG20" s="756">
        <f t="shared" ref="AG20" si="406">3.517/AF20</f>
        <v>1.5700892857142856</v>
      </c>
      <c r="AH20" s="757">
        <f t="shared" si="56"/>
        <v>1.5700892857142856</v>
      </c>
      <c r="AI20" s="755">
        <f t="shared" si="266"/>
        <v>2.21</v>
      </c>
      <c r="AJ20" s="756">
        <f t="shared" ref="AJ20" si="407">3.517/AI20</f>
        <v>1.5914027149321266</v>
      </c>
      <c r="AK20" s="757">
        <f t="shared" si="59"/>
        <v>1.5914027149321266</v>
      </c>
      <c r="AL20" s="755">
        <f t="shared" si="266"/>
        <v>2.16</v>
      </c>
      <c r="AM20" s="756">
        <f t="shared" ref="AM20" si="408">3.517/AL20</f>
        <v>1.6282407407407407</v>
      </c>
      <c r="AN20" s="757">
        <f t="shared" si="62"/>
        <v>1.6282407407407407</v>
      </c>
      <c r="AO20" s="755">
        <f t="shared" si="266"/>
        <v>2.04</v>
      </c>
      <c r="AP20" s="756">
        <f t="shared" ref="AP20" si="409">3.517/AO20</f>
        <v>1.7240196078431371</v>
      </c>
      <c r="AQ20" s="757">
        <f t="shared" si="65"/>
        <v>1.7240196078431371</v>
      </c>
      <c r="AR20" s="755">
        <f t="shared" si="266"/>
        <v>1.79</v>
      </c>
      <c r="AS20" s="756">
        <f t="shared" ref="AS20" si="410">3.517/AR20</f>
        <v>1.964804469273743</v>
      </c>
      <c r="AT20" s="757">
        <f t="shared" si="68"/>
        <v>1.964804469273743</v>
      </c>
      <c r="AU20" s="755">
        <f t="shared" si="266"/>
        <v>2.4300000000000002</v>
      </c>
      <c r="AV20" s="756">
        <f t="shared" ref="AV20" si="411">3.517/AU20</f>
        <v>1.4473251028806584</v>
      </c>
      <c r="AW20" s="757">
        <f t="shared" si="71"/>
        <v>1.4473251028806584</v>
      </c>
      <c r="AX20" s="755">
        <f t="shared" si="266"/>
        <v>2.3199999999999998</v>
      </c>
      <c r="AY20" s="756">
        <f t="shared" ref="AY20" si="412">3.517/AX20</f>
        <v>1.515948275862069</v>
      </c>
      <c r="AZ20" s="757">
        <f t="shared" si="74"/>
        <v>1.515948275862069</v>
      </c>
      <c r="BA20" s="755">
        <f t="shared" si="266"/>
        <v>2.2000000000000002</v>
      </c>
      <c r="BB20" s="756">
        <f t="shared" ref="BB20" si="413">3.517/BA20</f>
        <v>1.5986363636363634</v>
      </c>
      <c r="BC20" s="757">
        <f t="shared" si="77"/>
        <v>1.5986363636363634</v>
      </c>
      <c r="BD20" s="755">
        <f t="shared" si="266"/>
        <v>2.39</v>
      </c>
      <c r="BE20" s="756">
        <f t="shared" ref="BE20" si="414">3.517/BD20</f>
        <v>1.4715481171548117</v>
      </c>
      <c r="BF20" s="757">
        <f t="shared" si="80"/>
        <v>1.4715481171548117</v>
      </c>
      <c r="BG20" s="755">
        <f t="shared" si="266"/>
        <v>2.2599999999999998</v>
      </c>
      <c r="BH20" s="756">
        <f t="shared" ref="BH20" si="415">3.517/BG20</f>
        <v>1.5561946902654868</v>
      </c>
      <c r="BI20" s="757">
        <f t="shared" si="83"/>
        <v>1.5561946902654868</v>
      </c>
      <c r="BJ20" s="755">
        <f t="shared" si="266"/>
        <v>2.15</v>
      </c>
      <c r="BK20" s="756">
        <f t="shared" ref="BK20" si="416">3.517/BJ20</f>
        <v>1.6358139534883722</v>
      </c>
      <c r="BL20" s="757">
        <f t="shared" si="86"/>
        <v>1.6358139534883722</v>
      </c>
      <c r="BM20" s="755">
        <f t="shared" si="266"/>
        <v>2.2200000000000002</v>
      </c>
      <c r="BN20" s="756">
        <f t="shared" ref="BN20" si="417">3.517/BM20</f>
        <v>1.5842342342342342</v>
      </c>
      <c r="BO20" s="757">
        <f t="shared" si="89"/>
        <v>1.5842342342342342</v>
      </c>
      <c r="BP20" s="755">
        <f t="shared" si="266"/>
        <v>1.89</v>
      </c>
      <c r="BQ20" s="756">
        <f t="shared" ref="BQ20" si="418">3.517/BP20</f>
        <v>1.860846560846561</v>
      </c>
      <c r="BR20" s="757">
        <f t="shared" si="92"/>
        <v>1.860846560846561</v>
      </c>
      <c r="BS20" s="755">
        <f t="shared" si="395"/>
        <v>1.85</v>
      </c>
      <c r="BT20" s="756">
        <f t="shared" ref="BT20" si="419">3.517/BS20</f>
        <v>1.901081081081081</v>
      </c>
      <c r="BU20" s="757">
        <f t="shared" si="95"/>
        <v>1.901081081081081</v>
      </c>
      <c r="BV20" s="755">
        <v>2.7</v>
      </c>
      <c r="BW20" s="756">
        <v>1.3025925925925901</v>
      </c>
      <c r="BX20" s="757">
        <v>1.3025925925925901</v>
      </c>
      <c r="BY20" s="755">
        <v>2.58</v>
      </c>
      <c r="BZ20" s="756">
        <v>1.3631782945736399</v>
      </c>
      <c r="CA20" s="757">
        <v>1.3631782945736399</v>
      </c>
      <c r="CB20" s="755">
        <v>2.36</v>
      </c>
      <c r="CC20" s="756">
        <v>1.49025423728814</v>
      </c>
      <c r="CD20" s="757">
        <v>1.49025423728814</v>
      </c>
      <c r="CE20" s="755">
        <v>2.16</v>
      </c>
      <c r="CF20" s="756">
        <v>1.62824074074074</v>
      </c>
      <c r="CG20" s="757">
        <v>1.62824074074074</v>
      </c>
      <c r="CH20" s="755">
        <v>2.04</v>
      </c>
      <c r="CI20" s="756">
        <v>1.72401960784314</v>
      </c>
      <c r="CJ20" s="757">
        <v>1.72401960784314</v>
      </c>
      <c r="CK20" s="755">
        <v>1.79</v>
      </c>
      <c r="CL20" s="756">
        <v>1.9648044692737401</v>
      </c>
      <c r="CM20" s="757">
        <v>1.9648044692737401</v>
      </c>
      <c r="CN20" s="755">
        <v>2.56</v>
      </c>
      <c r="CO20" s="756">
        <v>1.373828125</v>
      </c>
      <c r="CP20" s="757">
        <v>1.373828125</v>
      </c>
      <c r="CQ20" s="755">
        <v>2.2400000000000002</v>
      </c>
      <c r="CR20" s="756">
        <v>1.5700892857142901</v>
      </c>
      <c r="CS20" s="757">
        <v>1.5700892857142901</v>
      </c>
      <c r="CT20" s="755">
        <v>2.21</v>
      </c>
      <c r="CU20" s="756">
        <v>1.5914027149321299</v>
      </c>
      <c r="CV20" s="757">
        <v>1.5914027149321299</v>
      </c>
      <c r="CW20" s="755">
        <v>2.2200000000000002</v>
      </c>
      <c r="CX20" s="756">
        <v>1.5842342342342299</v>
      </c>
      <c r="CY20" s="757">
        <v>1.5842342342342299</v>
      </c>
      <c r="CZ20" s="755">
        <v>1.89</v>
      </c>
      <c r="DA20" s="756">
        <v>1.8608465608465601</v>
      </c>
      <c r="DB20" s="757">
        <v>1.8608465608465601</v>
      </c>
      <c r="DC20" s="755">
        <v>1.89</v>
      </c>
      <c r="DD20" s="756">
        <v>1.8608465608465601</v>
      </c>
      <c r="DE20" s="757">
        <v>1.8608465608465601</v>
      </c>
    </row>
    <row r="21" spans="1:109" x14ac:dyDescent="0.25">
      <c r="A21" s="759">
        <v>2012</v>
      </c>
      <c r="B21" s="755">
        <f t="shared" si="24"/>
        <v>2.7</v>
      </c>
      <c r="C21" s="756">
        <f t="shared" si="25"/>
        <v>1.3025925925925925</v>
      </c>
      <c r="D21" s="757">
        <f t="shared" si="26"/>
        <v>1.3025925925925925</v>
      </c>
      <c r="E21" s="755">
        <f t="shared" si="266"/>
        <v>2.58</v>
      </c>
      <c r="F21" s="756">
        <f t="shared" ref="F21" si="420">3.517/E21</f>
        <v>1.3631782945736433</v>
      </c>
      <c r="G21" s="757">
        <f t="shared" si="29"/>
        <v>1.3631782945736433</v>
      </c>
      <c r="H21" s="755">
        <f t="shared" si="266"/>
        <v>2.36</v>
      </c>
      <c r="I21" s="756">
        <f t="shared" ref="I21" si="421">3.517/H21</f>
        <v>1.4902542372881356</v>
      </c>
      <c r="J21" s="757">
        <f t="shared" si="32"/>
        <v>1.4902542372881356</v>
      </c>
      <c r="K21" s="755">
        <f t="shared" si="266"/>
        <v>2.82</v>
      </c>
      <c r="L21" s="756">
        <f t="shared" ref="L21" si="422">3.517/K21</f>
        <v>1.2471631205673759</v>
      </c>
      <c r="M21" s="757">
        <f t="shared" si="35"/>
        <v>1.2471631205673759</v>
      </c>
      <c r="N21" s="755">
        <f t="shared" si="266"/>
        <v>2.73</v>
      </c>
      <c r="O21" s="756">
        <f t="shared" ref="O21" si="423">3.517/N21</f>
        <v>1.2882783882783881</v>
      </c>
      <c r="P21" s="757">
        <f t="shared" si="38"/>
        <v>1.2882783882783881</v>
      </c>
      <c r="Q21" s="755">
        <f t="shared" si="266"/>
        <v>2.67</v>
      </c>
      <c r="R21" s="756">
        <f t="shared" ref="R21" si="424">3.517/Q21</f>
        <v>1.3172284644194756</v>
      </c>
      <c r="S21" s="757">
        <f t="shared" si="41"/>
        <v>1.3172284644194756</v>
      </c>
      <c r="T21" s="755">
        <f t="shared" si="266"/>
        <v>2.75</v>
      </c>
      <c r="U21" s="756">
        <f t="shared" ref="U21" si="425">3.517/T21</f>
        <v>1.2789090909090908</v>
      </c>
      <c r="V21" s="757">
        <f t="shared" si="44"/>
        <v>1.2789090909090908</v>
      </c>
      <c r="W21" s="755">
        <f t="shared" si="266"/>
        <v>2.66</v>
      </c>
      <c r="X21" s="756">
        <f t="shared" ref="X21" si="426">3.517/W21</f>
        <v>1.3221804511278195</v>
      </c>
      <c r="Y21" s="757">
        <f t="shared" si="47"/>
        <v>1.3221804511278195</v>
      </c>
      <c r="Z21" s="755">
        <f t="shared" si="266"/>
        <v>2.6</v>
      </c>
      <c r="AA21" s="756">
        <f t="shared" ref="AA21" si="427">3.517/Z21</f>
        <v>1.3526923076923076</v>
      </c>
      <c r="AB21" s="757">
        <f t="shared" si="50"/>
        <v>1.3526923076923076</v>
      </c>
      <c r="AC21" s="755">
        <f t="shared" si="266"/>
        <v>2.56</v>
      </c>
      <c r="AD21" s="756">
        <f t="shared" ref="AD21" si="428">3.517/AC21</f>
        <v>1.373828125</v>
      </c>
      <c r="AE21" s="757">
        <f t="shared" si="53"/>
        <v>1.373828125</v>
      </c>
      <c r="AF21" s="755">
        <f t="shared" si="266"/>
        <v>2.2400000000000002</v>
      </c>
      <c r="AG21" s="756">
        <f t="shared" ref="AG21" si="429">3.517/AF21</f>
        <v>1.5700892857142856</v>
      </c>
      <c r="AH21" s="757">
        <f t="shared" si="56"/>
        <v>1.5700892857142856</v>
      </c>
      <c r="AI21" s="755">
        <f t="shared" si="266"/>
        <v>2.21</v>
      </c>
      <c r="AJ21" s="756">
        <f t="shared" ref="AJ21" si="430">3.517/AI21</f>
        <v>1.5914027149321266</v>
      </c>
      <c r="AK21" s="757">
        <f t="shared" si="59"/>
        <v>1.5914027149321266</v>
      </c>
      <c r="AL21" s="755">
        <f t="shared" si="266"/>
        <v>2.16</v>
      </c>
      <c r="AM21" s="756">
        <f t="shared" ref="AM21" si="431">3.517/AL21</f>
        <v>1.6282407407407407</v>
      </c>
      <c r="AN21" s="757">
        <f t="shared" si="62"/>
        <v>1.6282407407407407</v>
      </c>
      <c r="AO21" s="755">
        <f t="shared" si="266"/>
        <v>2.04</v>
      </c>
      <c r="AP21" s="756">
        <f t="shared" ref="AP21" si="432">3.517/AO21</f>
        <v>1.7240196078431371</v>
      </c>
      <c r="AQ21" s="757">
        <f t="shared" si="65"/>
        <v>1.7240196078431371</v>
      </c>
      <c r="AR21" s="755">
        <f t="shared" si="266"/>
        <v>1.79</v>
      </c>
      <c r="AS21" s="756">
        <f t="shared" ref="AS21" si="433">3.517/AR21</f>
        <v>1.964804469273743</v>
      </c>
      <c r="AT21" s="757">
        <f t="shared" si="68"/>
        <v>1.964804469273743</v>
      </c>
      <c r="AU21" s="755">
        <f t="shared" si="266"/>
        <v>2.4300000000000002</v>
      </c>
      <c r="AV21" s="756">
        <f t="shared" ref="AV21" si="434">3.517/AU21</f>
        <v>1.4473251028806584</v>
      </c>
      <c r="AW21" s="757">
        <f t="shared" si="71"/>
        <v>1.4473251028806584</v>
      </c>
      <c r="AX21" s="755">
        <f t="shared" si="266"/>
        <v>2.3199999999999998</v>
      </c>
      <c r="AY21" s="756">
        <f t="shared" ref="AY21" si="435">3.517/AX21</f>
        <v>1.515948275862069</v>
      </c>
      <c r="AZ21" s="757">
        <f t="shared" si="74"/>
        <v>1.515948275862069</v>
      </c>
      <c r="BA21" s="755">
        <f t="shared" si="266"/>
        <v>2.2000000000000002</v>
      </c>
      <c r="BB21" s="756">
        <f t="shared" ref="BB21" si="436">3.517/BA21</f>
        <v>1.5986363636363634</v>
      </c>
      <c r="BC21" s="757">
        <f t="shared" si="77"/>
        <v>1.5986363636363634</v>
      </c>
      <c r="BD21" s="755">
        <f t="shared" si="266"/>
        <v>2.39</v>
      </c>
      <c r="BE21" s="756">
        <f t="shared" ref="BE21" si="437">3.517/BD21</f>
        <v>1.4715481171548117</v>
      </c>
      <c r="BF21" s="757">
        <f t="shared" si="80"/>
        <v>1.4715481171548117</v>
      </c>
      <c r="BG21" s="755">
        <f t="shared" si="266"/>
        <v>2.2599999999999998</v>
      </c>
      <c r="BH21" s="756">
        <f t="shared" ref="BH21" si="438">3.517/BG21</f>
        <v>1.5561946902654868</v>
      </c>
      <c r="BI21" s="757">
        <f t="shared" si="83"/>
        <v>1.5561946902654868</v>
      </c>
      <c r="BJ21" s="755">
        <f t="shared" si="266"/>
        <v>2.15</v>
      </c>
      <c r="BK21" s="756">
        <f t="shared" ref="BK21" si="439">3.517/BJ21</f>
        <v>1.6358139534883722</v>
      </c>
      <c r="BL21" s="757">
        <f t="shared" si="86"/>
        <v>1.6358139534883722</v>
      </c>
      <c r="BM21" s="755">
        <f t="shared" si="266"/>
        <v>2.2200000000000002</v>
      </c>
      <c r="BN21" s="756">
        <f t="shared" ref="BN21" si="440">3.517/BM21</f>
        <v>1.5842342342342342</v>
      </c>
      <c r="BO21" s="757">
        <f t="shared" si="89"/>
        <v>1.5842342342342342</v>
      </c>
      <c r="BP21" s="755">
        <f t="shared" si="266"/>
        <v>1.89</v>
      </c>
      <c r="BQ21" s="756">
        <f t="shared" ref="BQ21" si="441">3.517/BP21</f>
        <v>1.860846560846561</v>
      </c>
      <c r="BR21" s="757">
        <f t="shared" si="92"/>
        <v>1.860846560846561</v>
      </c>
      <c r="BS21" s="755">
        <f t="shared" si="395"/>
        <v>1.85</v>
      </c>
      <c r="BT21" s="756">
        <f t="shared" ref="BT21" si="442">3.517/BS21</f>
        <v>1.901081081081081</v>
      </c>
      <c r="BU21" s="757">
        <f t="shared" si="95"/>
        <v>1.901081081081081</v>
      </c>
      <c r="BV21" s="755">
        <v>2.7</v>
      </c>
      <c r="BW21" s="756">
        <v>1.3025925925925901</v>
      </c>
      <c r="BX21" s="757">
        <v>1.3025925925925901</v>
      </c>
      <c r="BY21" s="755">
        <v>2.58</v>
      </c>
      <c r="BZ21" s="756">
        <v>1.3631782945736399</v>
      </c>
      <c r="CA21" s="757">
        <v>1.3631782945736399</v>
      </c>
      <c r="CB21" s="755">
        <v>2.36</v>
      </c>
      <c r="CC21" s="756">
        <v>1.49025423728814</v>
      </c>
      <c r="CD21" s="757">
        <v>1.49025423728814</v>
      </c>
      <c r="CE21" s="755">
        <v>2.16</v>
      </c>
      <c r="CF21" s="756">
        <v>1.62824074074074</v>
      </c>
      <c r="CG21" s="757">
        <v>1.62824074074074</v>
      </c>
      <c r="CH21" s="755">
        <v>2.04</v>
      </c>
      <c r="CI21" s="756">
        <v>1.72401960784314</v>
      </c>
      <c r="CJ21" s="757">
        <v>1.72401960784314</v>
      </c>
      <c r="CK21" s="755">
        <v>1.79</v>
      </c>
      <c r="CL21" s="756">
        <v>1.9648044692737401</v>
      </c>
      <c r="CM21" s="757">
        <v>1.9648044692737401</v>
      </c>
      <c r="CN21" s="755">
        <v>2.56</v>
      </c>
      <c r="CO21" s="756">
        <v>1.373828125</v>
      </c>
      <c r="CP21" s="757">
        <v>1.373828125</v>
      </c>
      <c r="CQ21" s="755">
        <v>2.2400000000000002</v>
      </c>
      <c r="CR21" s="756">
        <v>1.5700892857142901</v>
      </c>
      <c r="CS21" s="757">
        <v>1.5700892857142901</v>
      </c>
      <c r="CT21" s="755">
        <v>2.21</v>
      </c>
      <c r="CU21" s="756">
        <v>1.5914027149321299</v>
      </c>
      <c r="CV21" s="757">
        <v>1.5914027149321299</v>
      </c>
      <c r="CW21" s="755">
        <v>2.2200000000000002</v>
      </c>
      <c r="CX21" s="756">
        <v>1.5842342342342299</v>
      </c>
      <c r="CY21" s="757">
        <v>1.5842342342342299</v>
      </c>
      <c r="CZ21" s="755">
        <v>1.89</v>
      </c>
      <c r="DA21" s="756">
        <v>1.8608465608465601</v>
      </c>
      <c r="DB21" s="757">
        <v>1.8608465608465601</v>
      </c>
      <c r="DC21" s="755">
        <v>1.89</v>
      </c>
      <c r="DD21" s="756">
        <v>1.8608465608465601</v>
      </c>
      <c r="DE21" s="757">
        <v>1.8608465608465601</v>
      </c>
    </row>
    <row r="22" spans="1:109" x14ac:dyDescent="0.25">
      <c r="A22" s="759">
        <v>2013</v>
      </c>
      <c r="B22" s="755">
        <f t="shared" si="24"/>
        <v>2.7</v>
      </c>
      <c r="C22" s="756">
        <f t="shared" si="25"/>
        <v>1.3025925925925925</v>
      </c>
      <c r="D22" s="757">
        <f t="shared" si="26"/>
        <v>1.3025925925925925</v>
      </c>
      <c r="E22" s="755">
        <f t="shared" si="266"/>
        <v>2.58</v>
      </c>
      <c r="F22" s="756">
        <f t="shared" ref="F22" si="443">3.517/E22</f>
        <v>1.3631782945736433</v>
      </c>
      <c r="G22" s="757">
        <f t="shared" si="29"/>
        <v>1.3631782945736433</v>
      </c>
      <c r="H22" s="755">
        <f t="shared" si="266"/>
        <v>2.36</v>
      </c>
      <c r="I22" s="756">
        <f t="shared" ref="I22" si="444">3.517/H22</f>
        <v>1.4902542372881356</v>
      </c>
      <c r="J22" s="757">
        <f t="shared" si="32"/>
        <v>1.4902542372881356</v>
      </c>
      <c r="K22" s="755">
        <f t="shared" si="266"/>
        <v>2.82</v>
      </c>
      <c r="L22" s="756">
        <f t="shared" ref="L22" si="445">3.517/K22</f>
        <v>1.2471631205673759</v>
      </c>
      <c r="M22" s="757">
        <f t="shared" si="35"/>
        <v>1.2471631205673759</v>
      </c>
      <c r="N22" s="755">
        <f t="shared" si="266"/>
        <v>2.73</v>
      </c>
      <c r="O22" s="756">
        <f t="shared" ref="O22" si="446">3.517/N22</f>
        <v>1.2882783882783881</v>
      </c>
      <c r="P22" s="757">
        <f t="shared" si="38"/>
        <v>1.2882783882783881</v>
      </c>
      <c r="Q22" s="755">
        <f t="shared" si="266"/>
        <v>2.67</v>
      </c>
      <c r="R22" s="756">
        <f t="shared" ref="R22" si="447">3.517/Q22</f>
        <v>1.3172284644194756</v>
      </c>
      <c r="S22" s="757">
        <f t="shared" si="41"/>
        <v>1.3172284644194756</v>
      </c>
      <c r="T22" s="755">
        <f t="shared" si="266"/>
        <v>2.75</v>
      </c>
      <c r="U22" s="756">
        <f t="shared" ref="U22" si="448">3.517/T22</f>
        <v>1.2789090909090908</v>
      </c>
      <c r="V22" s="757">
        <f t="shared" si="44"/>
        <v>1.2789090909090908</v>
      </c>
      <c r="W22" s="755">
        <f t="shared" si="266"/>
        <v>2.66</v>
      </c>
      <c r="X22" s="756">
        <f t="shared" ref="X22" si="449">3.517/W22</f>
        <v>1.3221804511278195</v>
      </c>
      <c r="Y22" s="757">
        <f t="shared" si="47"/>
        <v>1.3221804511278195</v>
      </c>
      <c r="Z22" s="755">
        <f t="shared" si="266"/>
        <v>2.6</v>
      </c>
      <c r="AA22" s="756">
        <f t="shared" ref="AA22" si="450">3.517/Z22</f>
        <v>1.3526923076923076</v>
      </c>
      <c r="AB22" s="757">
        <f t="shared" si="50"/>
        <v>1.3526923076923076</v>
      </c>
      <c r="AC22" s="755">
        <f t="shared" si="266"/>
        <v>2.56</v>
      </c>
      <c r="AD22" s="756">
        <f t="shared" ref="AD22" si="451">3.517/AC22</f>
        <v>1.373828125</v>
      </c>
      <c r="AE22" s="757">
        <f t="shared" si="53"/>
        <v>1.373828125</v>
      </c>
      <c r="AF22" s="755">
        <f t="shared" si="266"/>
        <v>2.2400000000000002</v>
      </c>
      <c r="AG22" s="756">
        <f t="shared" ref="AG22" si="452">3.517/AF22</f>
        <v>1.5700892857142856</v>
      </c>
      <c r="AH22" s="757">
        <f t="shared" si="56"/>
        <v>1.5700892857142856</v>
      </c>
      <c r="AI22" s="755">
        <f t="shared" si="266"/>
        <v>2.21</v>
      </c>
      <c r="AJ22" s="756">
        <f t="shared" ref="AJ22" si="453">3.517/AI22</f>
        <v>1.5914027149321266</v>
      </c>
      <c r="AK22" s="757">
        <f t="shared" si="59"/>
        <v>1.5914027149321266</v>
      </c>
      <c r="AL22" s="755">
        <f t="shared" si="266"/>
        <v>2.16</v>
      </c>
      <c r="AM22" s="756">
        <f t="shared" ref="AM22" si="454">3.517/AL22</f>
        <v>1.6282407407407407</v>
      </c>
      <c r="AN22" s="757">
        <f t="shared" si="62"/>
        <v>1.6282407407407407</v>
      </c>
      <c r="AO22" s="755">
        <f t="shared" si="266"/>
        <v>2.04</v>
      </c>
      <c r="AP22" s="756">
        <f t="shared" ref="AP22" si="455">3.517/AO22</f>
        <v>1.7240196078431371</v>
      </c>
      <c r="AQ22" s="757">
        <f t="shared" si="65"/>
        <v>1.7240196078431371</v>
      </c>
      <c r="AR22" s="755">
        <f t="shared" si="266"/>
        <v>1.79</v>
      </c>
      <c r="AS22" s="756">
        <f t="shared" ref="AS22" si="456">3.517/AR22</f>
        <v>1.964804469273743</v>
      </c>
      <c r="AT22" s="757">
        <f t="shared" si="68"/>
        <v>1.964804469273743</v>
      </c>
      <c r="AU22" s="755">
        <f t="shared" si="266"/>
        <v>2.4300000000000002</v>
      </c>
      <c r="AV22" s="756">
        <f t="shared" ref="AV22" si="457">3.517/AU22</f>
        <v>1.4473251028806584</v>
      </c>
      <c r="AW22" s="757">
        <f t="shared" si="71"/>
        <v>1.4473251028806584</v>
      </c>
      <c r="AX22" s="755">
        <f t="shared" si="266"/>
        <v>2.3199999999999998</v>
      </c>
      <c r="AY22" s="756">
        <f t="shared" ref="AY22" si="458">3.517/AX22</f>
        <v>1.515948275862069</v>
      </c>
      <c r="AZ22" s="757">
        <f t="shared" si="74"/>
        <v>1.515948275862069</v>
      </c>
      <c r="BA22" s="755">
        <f t="shared" si="266"/>
        <v>2.2000000000000002</v>
      </c>
      <c r="BB22" s="756">
        <f t="shared" ref="BB22" si="459">3.517/BA22</f>
        <v>1.5986363636363634</v>
      </c>
      <c r="BC22" s="757">
        <f t="shared" si="77"/>
        <v>1.5986363636363634</v>
      </c>
      <c r="BD22" s="755">
        <f t="shared" si="266"/>
        <v>2.39</v>
      </c>
      <c r="BE22" s="756">
        <f t="shared" ref="BE22" si="460">3.517/BD22</f>
        <v>1.4715481171548117</v>
      </c>
      <c r="BF22" s="757">
        <f t="shared" si="80"/>
        <v>1.4715481171548117</v>
      </c>
      <c r="BG22" s="755">
        <f t="shared" si="266"/>
        <v>2.2599999999999998</v>
      </c>
      <c r="BH22" s="756">
        <f t="shared" ref="BH22" si="461">3.517/BG22</f>
        <v>1.5561946902654868</v>
      </c>
      <c r="BI22" s="757">
        <f t="shared" si="83"/>
        <v>1.5561946902654868</v>
      </c>
      <c r="BJ22" s="755">
        <f t="shared" si="266"/>
        <v>2.15</v>
      </c>
      <c r="BK22" s="756">
        <f t="shared" ref="BK22" si="462">3.517/BJ22</f>
        <v>1.6358139534883722</v>
      </c>
      <c r="BL22" s="757">
        <f t="shared" si="86"/>
        <v>1.6358139534883722</v>
      </c>
      <c r="BM22" s="755">
        <f t="shared" si="266"/>
        <v>2.2200000000000002</v>
      </c>
      <c r="BN22" s="756">
        <f t="shared" ref="BN22" si="463">3.517/BM22</f>
        <v>1.5842342342342342</v>
      </c>
      <c r="BO22" s="757">
        <f t="shared" si="89"/>
        <v>1.5842342342342342</v>
      </c>
      <c r="BP22" s="755">
        <f t="shared" si="266"/>
        <v>1.89</v>
      </c>
      <c r="BQ22" s="756">
        <f t="shared" ref="BQ22" si="464">3.517/BP22</f>
        <v>1.860846560846561</v>
      </c>
      <c r="BR22" s="757">
        <f t="shared" si="92"/>
        <v>1.860846560846561</v>
      </c>
      <c r="BS22" s="755">
        <f t="shared" si="395"/>
        <v>1.85</v>
      </c>
      <c r="BT22" s="756">
        <f t="shared" ref="BT22" si="465">3.517/BS22</f>
        <v>1.901081081081081</v>
      </c>
      <c r="BU22" s="757">
        <f t="shared" si="95"/>
        <v>1.901081081081081</v>
      </c>
      <c r="BV22" s="755">
        <v>2.7</v>
      </c>
      <c r="BW22" s="756">
        <v>1.3025925925925901</v>
      </c>
      <c r="BX22" s="757">
        <v>1.3025925925925901</v>
      </c>
      <c r="BY22" s="755">
        <v>2.58</v>
      </c>
      <c r="BZ22" s="756">
        <v>1.3631782945736399</v>
      </c>
      <c r="CA22" s="757">
        <v>1.3631782945736399</v>
      </c>
      <c r="CB22" s="755">
        <v>2.36</v>
      </c>
      <c r="CC22" s="756">
        <v>1.49025423728814</v>
      </c>
      <c r="CD22" s="757">
        <v>1.49025423728814</v>
      </c>
      <c r="CE22" s="755">
        <v>2.16</v>
      </c>
      <c r="CF22" s="756">
        <v>1.62824074074074</v>
      </c>
      <c r="CG22" s="757">
        <v>1.62824074074074</v>
      </c>
      <c r="CH22" s="755">
        <v>2.04</v>
      </c>
      <c r="CI22" s="756">
        <v>1.72401960784314</v>
      </c>
      <c r="CJ22" s="757">
        <v>1.72401960784314</v>
      </c>
      <c r="CK22" s="755">
        <v>1.79</v>
      </c>
      <c r="CL22" s="756">
        <v>1.9648044692737401</v>
      </c>
      <c r="CM22" s="757">
        <v>1.9648044692737401</v>
      </c>
      <c r="CN22" s="755">
        <v>2.56</v>
      </c>
      <c r="CO22" s="756">
        <v>1.373828125</v>
      </c>
      <c r="CP22" s="757">
        <v>1.373828125</v>
      </c>
      <c r="CQ22" s="755">
        <v>2.2400000000000002</v>
      </c>
      <c r="CR22" s="756">
        <v>1.5700892857142901</v>
      </c>
      <c r="CS22" s="757">
        <v>1.5700892857142901</v>
      </c>
      <c r="CT22" s="755">
        <v>2.21</v>
      </c>
      <c r="CU22" s="756">
        <v>1.5914027149321299</v>
      </c>
      <c r="CV22" s="757">
        <v>1.5914027149321299</v>
      </c>
      <c r="CW22" s="755">
        <v>2.2200000000000002</v>
      </c>
      <c r="CX22" s="756">
        <v>1.5842342342342299</v>
      </c>
      <c r="CY22" s="757">
        <v>1.5842342342342299</v>
      </c>
      <c r="CZ22" s="755">
        <v>1.89</v>
      </c>
      <c r="DA22" s="756">
        <v>1.8608465608465601</v>
      </c>
      <c r="DB22" s="757">
        <v>1.8608465608465601</v>
      </c>
      <c r="DC22" s="755">
        <v>1.89</v>
      </c>
      <c r="DD22" s="756">
        <v>1.8608465608465601</v>
      </c>
      <c r="DE22" s="757">
        <v>1.8608465608465601</v>
      </c>
    </row>
    <row r="23" spans="1:109" x14ac:dyDescent="0.25">
      <c r="A23" s="759">
        <v>2014</v>
      </c>
      <c r="B23" s="755">
        <f t="shared" si="24"/>
        <v>2.7</v>
      </c>
      <c r="C23" s="756">
        <f t="shared" si="25"/>
        <v>1.3025925925925925</v>
      </c>
      <c r="D23" s="757">
        <f t="shared" si="26"/>
        <v>1.3025925925925925</v>
      </c>
      <c r="E23" s="755">
        <f t="shared" si="266"/>
        <v>2.58</v>
      </c>
      <c r="F23" s="756">
        <f t="shared" ref="F23" si="466">3.517/E23</f>
        <v>1.3631782945736433</v>
      </c>
      <c r="G23" s="757">
        <f t="shared" si="29"/>
        <v>1.3631782945736433</v>
      </c>
      <c r="H23" s="755">
        <f t="shared" si="266"/>
        <v>2.36</v>
      </c>
      <c r="I23" s="756">
        <f t="shared" ref="I23" si="467">3.517/H23</f>
        <v>1.4902542372881356</v>
      </c>
      <c r="J23" s="757">
        <f t="shared" si="32"/>
        <v>1.4902542372881356</v>
      </c>
      <c r="K23" s="755">
        <f t="shared" si="266"/>
        <v>2.82</v>
      </c>
      <c r="L23" s="756">
        <f t="shared" ref="L23" si="468">3.517/K23</f>
        <v>1.2471631205673759</v>
      </c>
      <c r="M23" s="757">
        <f t="shared" si="35"/>
        <v>1.2471631205673759</v>
      </c>
      <c r="N23" s="755">
        <f t="shared" si="266"/>
        <v>2.73</v>
      </c>
      <c r="O23" s="756">
        <f t="shared" ref="O23" si="469">3.517/N23</f>
        <v>1.2882783882783881</v>
      </c>
      <c r="P23" s="757">
        <f t="shared" si="38"/>
        <v>1.2882783882783881</v>
      </c>
      <c r="Q23" s="755">
        <f t="shared" si="266"/>
        <v>2.67</v>
      </c>
      <c r="R23" s="756">
        <f t="shared" ref="R23" si="470">3.517/Q23</f>
        <v>1.3172284644194756</v>
      </c>
      <c r="S23" s="757">
        <f t="shared" si="41"/>
        <v>1.3172284644194756</v>
      </c>
      <c r="T23" s="755">
        <f t="shared" si="266"/>
        <v>2.75</v>
      </c>
      <c r="U23" s="756">
        <f t="shared" ref="U23" si="471">3.517/T23</f>
        <v>1.2789090909090908</v>
      </c>
      <c r="V23" s="757">
        <f t="shared" si="44"/>
        <v>1.2789090909090908</v>
      </c>
      <c r="W23" s="755">
        <f t="shared" si="266"/>
        <v>2.66</v>
      </c>
      <c r="X23" s="756">
        <f t="shared" ref="X23" si="472">3.517/W23</f>
        <v>1.3221804511278195</v>
      </c>
      <c r="Y23" s="757">
        <f t="shared" si="47"/>
        <v>1.3221804511278195</v>
      </c>
      <c r="Z23" s="755">
        <f t="shared" si="266"/>
        <v>2.6</v>
      </c>
      <c r="AA23" s="756">
        <f t="shared" ref="AA23" si="473">3.517/Z23</f>
        <v>1.3526923076923076</v>
      </c>
      <c r="AB23" s="757">
        <f t="shared" si="50"/>
        <v>1.3526923076923076</v>
      </c>
      <c r="AC23" s="755">
        <f t="shared" si="266"/>
        <v>2.56</v>
      </c>
      <c r="AD23" s="756">
        <f t="shared" ref="AD23" si="474">3.517/AC23</f>
        <v>1.373828125</v>
      </c>
      <c r="AE23" s="757">
        <f t="shared" si="53"/>
        <v>1.373828125</v>
      </c>
      <c r="AF23" s="755">
        <f t="shared" si="266"/>
        <v>2.2400000000000002</v>
      </c>
      <c r="AG23" s="756">
        <f t="shared" ref="AG23" si="475">3.517/AF23</f>
        <v>1.5700892857142856</v>
      </c>
      <c r="AH23" s="757">
        <f t="shared" si="56"/>
        <v>1.5700892857142856</v>
      </c>
      <c r="AI23" s="755">
        <f t="shared" si="266"/>
        <v>2.21</v>
      </c>
      <c r="AJ23" s="756">
        <f t="shared" ref="AJ23" si="476">3.517/AI23</f>
        <v>1.5914027149321266</v>
      </c>
      <c r="AK23" s="757">
        <f t="shared" si="59"/>
        <v>1.5914027149321266</v>
      </c>
      <c r="AL23" s="755">
        <f t="shared" si="266"/>
        <v>2.16</v>
      </c>
      <c r="AM23" s="756">
        <f t="shared" ref="AM23" si="477">3.517/AL23</f>
        <v>1.6282407407407407</v>
      </c>
      <c r="AN23" s="757">
        <f t="shared" si="62"/>
        <v>1.6282407407407407</v>
      </c>
      <c r="AO23" s="755">
        <f t="shared" si="266"/>
        <v>2.04</v>
      </c>
      <c r="AP23" s="756">
        <f t="shared" ref="AP23" si="478">3.517/AO23</f>
        <v>1.7240196078431371</v>
      </c>
      <c r="AQ23" s="757">
        <f t="shared" si="65"/>
        <v>1.7240196078431371</v>
      </c>
      <c r="AR23" s="755">
        <f t="shared" si="266"/>
        <v>1.79</v>
      </c>
      <c r="AS23" s="756">
        <f t="shared" ref="AS23" si="479">3.517/AR23</f>
        <v>1.964804469273743</v>
      </c>
      <c r="AT23" s="757">
        <f t="shared" si="68"/>
        <v>1.964804469273743</v>
      </c>
      <c r="AU23" s="755">
        <f t="shared" si="266"/>
        <v>2.4300000000000002</v>
      </c>
      <c r="AV23" s="756">
        <f t="shared" ref="AV23" si="480">3.517/AU23</f>
        <v>1.4473251028806584</v>
      </c>
      <c r="AW23" s="757">
        <f t="shared" si="71"/>
        <v>1.4473251028806584</v>
      </c>
      <c r="AX23" s="755">
        <f t="shared" si="266"/>
        <v>2.3199999999999998</v>
      </c>
      <c r="AY23" s="756">
        <f t="shared" ref="AY23" si="481">3.517/AX23</f>
        <v>1.515948275862069</v>
      </c>
      <c r="AZ23" s="757">
        <f t="shared" si="74"/>
        <v>1.515948275862069</v>
      </c>
      <c r="BA23" s="755">
        <f t="shared" si="266"/>
        <v>2.2000000000000002</v>
      </c>
      <c r="BB23" s="756">
        <f t="shared" ref="BB23" si="482">3.517/BA23</f>
        <v>1.5986363636363634</v>
      </c>
      <c r="BC23" s="757">
        <f t="shared" si="77"/>
        <v>1.5986363636363634</v>
      </c>
      <c r="BD23" s="755">
        <f t="shared" si="266"/>
        <v>2.39</v>
      </c>
      <c r="BE23" s="756">
        <f t="shared" ref="BE23" si="483">3.517/BD23</f>
        <v>1.4715481171548117</v>
      </c>
      <c r="BF23" s="757">
        <f t="shared" si="80"/>
        <v>1.4715481171548117</v>
      </c>
      <c r="BG23" s="755">
        <f t="shared" si="266"/>
        <v>2.2599999999999998</v>
      </c>
      <c r="BH23" s="756">
        <f t="shared" ref="BH23" si="484">3.517/BG23</f>
        <v>1.5561946902654868</v>
      </c>
      <c r="BI23" s="757">
        <f t="shared" si="83"/>
        <v>1.5561946902654868</v>
      </c>
      <c r="BJ23" s="755">
        <f t="shared" si="266"/>
        <v>2.15</v>
      </c>
      <c r="BK23" s="756">
        <f t="shared" ref="BK23" si="485">3.517/BJ23</f>
        <v>1.6358139534883722</v>
      </c>
      <c r="BL23" s="757">
        <f t="shared" si="86"/>
        <v>1.6358139534883722</v>
      </c>
      <c r="BM23" s="755">
        <f t="shared" si="266"/>
        <v>2.2200000000000002</v>
      </c>
      <c r="BN23" s="756">
        <f t="shared" ref="BN23" si="486">3.517/BM23</f>
        <v>1.5842342342342342</v>
      </c>
      <c r="BO23" s="757">
        <f t="shared" si="89"/>
        <v>1.5842342342342342</v>
      </c>
      <c r="BP23" s="755">
        <f t="shared" si="266"/>
        <v>1.89</v>
      </c>
      <c r="BQ23" s="756">
        <f t="shared" ref="BQ23" si="487">3.517/BP23</f>
        <v>1.860846560846561</v>
      </c>
      <c r="BR23" s="757">
        <f t="shared" si="92"/>
        <v>1.860846560846561</v>
      </c>
      <c r="BS23" s="755">
        <f t="shared" si="395"/>
        <v>1.85</v>
      </c>
      <c r="BT23" s="756">
        <f t="shared" ref="BT23" si="488">3.517/BS23</f>
        <v>1.901081081081081</v>
      </c>
      <c r="BU23" s="757">
        <f t="shared" si="95"/>
        <v>1.901081081081081</v>
      </c>
      <c r="BV23" s="755">
        <v>2.7</v>
      </c>
      <c r="BW23" s="756">
        <v>1.3025925925925901</v>
      </c>
      <c r="BX23" s="757">
        <v>1.3025925925925901</v>
      </c>
      <c r="BY23" s="755">
        <v>2.58</v>
      </c>
      <c r="BZ23" s="756">
        <v>1.3631782945736399</v>
      </c>
      <c r="CA23" s="757">
        <v>1.3631782945736399</v>
      </c>
      <c r="CB23" s="755">
        <v>2.36</v>
      </c>
      <c r="CC23" s="756">
        <v>1.49025423728814</v>
      </c>
      <c r="CD23" s="757">
        <v>1.49025423728814</v>
      </c>
      <c r="CE23" s="755">
        <v>2.16</v>
      </c>
      <c r="CF23" s="756">
        <v>1.62824074074074</v>
      </c>
      <c r="CG23" s="757">
        <v>1.62824074074074</v>
      </c>
      <c r="CH23" s="755">
        <v>2.04</v>
      </c>
      <c r="CI23" s="756">
        <v>1.72401960784314</v>
      </c>
      <c r="CJ23" s="757">
        <v>1.72401960784314</v>
      </c>
      <c r="CK23" s="755">
        <v>1.79</v>
      </c>
      <c r="CL23" s="756">
        <v>1.9648044692737401</v>
      </c>
      <c r="CM23" s="757">
        <v>1.9648044692737401</v>
      </c>
      <c r="CN23" s="755">
        <v>2.56</v>
      </c>
      <c r="CO23" s="756">
        <v>1.373828125</v>
      </c>
      <c r="CP23" s="757">
        <v>1.373828125</v>
      </c>
      <c r="CQ23" s="755">
        <v>2.2400000000000002</v>
      </c>
      <c r="CR23" s="756">
        <v>1.5700892857142901</v>
      </c>
      <c r="CS23" s="757">
        <v>1.5700892857142901</v>
      </c>
      <c r="CT23" s="755">
        <v>2.21</v>
      </c>
      <c r="CU23" s="756">
        <v>1.5914027149321299</v>
      </c>
      <c r="CV23" s="757">
        <v>1.5914027149321299</v>
      </c>
      <c r="CW23" s="755">
        <v>2.2200000000000002</v>
      </c>
      <c r="CX23" s="756">
        <v>1.5842342342342299</v>
      </c>
      <c r="CY23" s="757">
        <v>1.5842342342342299</v>
      </c>
      <c r="CZ23" s="755">
        <v>1.89</v>
      </c>
      <c r="DA23" s="756">
        <v>1.8608465608465601</v>
      </c>
      <c r="DB23" s="757">
        <v>1.8608465608465601</v>
      </c>
      <c r="DC23" s="755">
        <v>1.89</v>
      </c>
      <c r="DD23" s="756">
        <v>1.8608465608465601</v>
      </c>
      <c r="DE23" s="757">
        <v>1.8608465608465601</v>
      </c>
    </row>
    <row r="24" spans="1:109" x14ac:dyDescent="0.25">
      <c r="A24" s="759">
        <v>2015</v>
      </c>
      <c r="B24" s="755">
        <f t="shared" si="24"/>
        <v>2.7</v>
      </c>
      <c r="C24" s="756">
        <f t="shared" si="25"/>
        <v>1.3025925925925925</v>
      </c>
      <c r="D24" s="757">
        <f t="shared" si="26"/>
        <v>1.3025925925925925</v>
      </c>
      <c r="E24" s="755">
        <f t="shared" si="266"/>
        <v>2.58</v>
      </c>
      <c r="F24" s="756">
        <f t="shared" ref="F24" si="489">3.517/E24</f>
        <v>1.3631782945736433</v>
      </c>
      <c r="G24" s="757">
        <f t="shared" si="29"/>
        <v>1.3631782945736433</v>
      </c>
      <c r="H24" s="755">
        <f t="shared" si="266"/>
        <v>2.36</v>
      </c>
      <c r="I24" s="756">
        <f t="shared" ref="I24" si="490">3.517/H24</f>
        <v>1.4902542372881356</v>
      </c>
      <c r="J24" s="757">
        <f t="shared" si="32"/>
        <v>1.4902542372881356</v>
      </c>
      <c r="K24" s="755">
        <f t="shared" si="266"/>
        <v>2.82</v>
      </c>
      <c r="L24" s="756">
        <f t="shared" ref="L24" si="491">3.517/K24</f>
        <v>1.2471631205673759</v>
      </c>
      <c r="M24" s="757">
        <f t="shared" si="35"/>
        <v>1.2471631205673759</v>
      </c>
      <c r="N24" s="755">
        <f t="shared" si="266"/>
        <v>2.73</v>
      </c>
      <c r="O24" s="756">
        <f t="shared" ref="O24" si="492">3.517/N24</f>
        <v>1.2882783882783881</v>
      </c>
      <c r="P24" s="757">
        <f t="shared" si="38"/>
        <v>1.2882783882783881</v>
      </c>
      <c r="Q24" s="755">
        <f t="shared" si="266"/>
        <v>2.67</v>
      </c>
      <c r="R24" s="756">
        <f t="shared" ref="R24" si="493">3.517/Q24</f>
        <v>1.3172284644194756</v>
      </c>
      <c r="S24" s="757">
        <f t="shared" si="41"/>
        <v>1.3172284644194756</v>
      </c>
      <c r="T24" s="755">
        <f t="shared" si="266"/>
        <v>2.75</v>
      </c>
      <c r="U24" s="756">
        <f t="shared" ref="U24" si="494">3.517/T24</f>
        <v>1.2789090909090908</v>
      </c>
      <c r="V24" s="757">
        <f t="shared" si="44"/>
        <v>1.2789090909090908</v>
      </c>
      <c r="W24" s="755">
        <f t="shared" si="266"/>
        <v>2.66</v>
      </c>
      <c r="X24" s="756">
        <f t="shared" ref="X24" si="495">3.517/W24</f>
        <v>1.3221804511278195</v>
      </c>
      <c r="Y24" s="757">
        <f t="shared" si="47"/>
        <v>1.3221804511278195</v>
      </c>
      <c r="Z24" s="755">
        <f t="shared" si="266"/>
        <v>2.6</v>
      </c>
      <c r="AA24" s="756">
        <f t="shared" ref="AA24" si="496">3.517/Z24</f>
        <v>1.3526923076923076</v>
      </c>
      <c r="AB24" s="757">
        <f t="shared" si="50"/>
        <v>1.3526923076923076</v>
      </c>
      <c r="AC24" s="755">
        <f t="shared" si="266"/>
        <v>2.56</v>
      </c>
      <c r="AD24" s="756">
        <f t="shared" ref="AD24" si="497">3.517/AC24</f>
        <v>1.373828125</v>
      </c>
      <c r="AE24" s="757">
        <f t="shared" si="53"/>
        <v>1.373828125</v>
      </c>
      <c r="AF24" s="755">
        <f t="shared" si="266"/>
        <v>2.2400000000000002</v>
      </c>
      <c r="AG24" s="756">
        <f t="shared" ref="AG24" si="498">3.517/AF24</f>
        <v>1.5700892857142856</v>
      </c>
      <c r="AH24" s="757">
        <f t="shared" si="56"/>
        <v>1.5700892857142856</v>
      </c>
      <c r="AI24" s="755">
        <f t="shared" si="266"/>
        <v>2.21</v>
      </c>
      <c r="AJ24" s="756">
        <f t="shared" ref="AJ24" si="499">3.517/AI24</f>
        <v>1.5914027149321266</v>
      </c>
      <c r="AK24" s="757">
        <f t="shared" si="59"/>
        <v>1.5914027149321266</v>
      </c>
      <c r="AL24" s="755">
        <f t="shared" si="266"/>
        <v>2.16</v>
      </c>
      <c r="AM24" s="756">
        <f t="shared" ref="AM24" si="500">3.517/AL24</f>
        <v>1.6282407407407407</v>
      </c>
      <c r="AN24" s="757">
        <f t="shared" si="62"/>
        <v>1.6282407407407407</v>
      </c>
      <c r="AO24" s="755">
        <f t="shared" si="266"/>
        <v>2.04</v>
      </c>
      <c r="AP24" s="756">
        <f t="shared" ref="AP24" si="501">3.517/AO24</f>
        <v>1.7240196078431371</v>
      </c>
      <c r="AQ24" s="757">
        <f t="shared" si="65"/>
        <v>1.7240196078431371</v>
      </c>
      <c r="AR24" s="755">
        <f t="shared" si="266"/>
        <v>1.79</v>
      </c>
      <c r="AS24" s="756">
        <f t="shared" ref="AS24" si="502">3.517/AR24</f>
        <v>1.964804469273743</v>
      </c>
      <c r="AT24" s="757">
        <f t="shared" si="68"/>
        <v>1.964804469273743</v>
      </c>
      <c r="AU24" s="755">
        <f t="shared" si="266"/>
        <v>2.4300000000000002</v>
      </c>
      <c r="AV24" s="756">
        <f t="shared" ref="AV24" si="503">3.517/AU24</f>
        <v>1.4473251028806584</v>
      </c>
      <c r="AW24" s="757">
        <f t="shared" si="71"/>
        <v>1.4473251028806584</v>
      </c>
      <c r="AX24" s="755">
        <f t="shared" si="266"/>
        <v>2.3199999999999998</v>
      </c>
      <c r="AY24" s="756">
        <f t="shared" ref="AY24" si="504">3.517/AX24</f>
        <v>1.515948275862069</v>
      </c>
      <c r="AZ24" s="757">
        <f t="shared" si="74"/>
        <v>1.515948275862069</v>
      </c>
      <c r="BA24" s="755">
        <f t="shared" si="266"/>
        <v>2.2000000000000002</v>
      </c>
      <c r="BB24" s="756">
        <f t="shared" ref="BB24" si="505">3.517/BA24</f>
        <v>1.5986363636363634</v>
      </c>
      <c r="BC24" s="757">
        <f t="shared" si="77"/>
        <v>1.5986363636363634</v>
      </c>
      <c r="BD24" s="755">
        <f t="shared" si="266"/>
        <v>2.39</v>
      </c>
      <c r="BE24" s="756">
        <f t="shared" ref="BE24" si="506">3.517/BD24</f>
        <v>1.4715481171548117</v>
      </c>
      <c r="BF24" s="757">
        <f t="shared" si="80"/>
        <v>1.4715481171548117</v>
      </c>
      <c r="BG24" s="755">
        <f t="shared" si="266"/>
        <v>2.2599999999999998</v>
      </c>
      <c r="BH24" s="756">
        <f t="shared" ref="BH24" si="507">3.517/BG24</f>
        <v>1.5561946902654868</v>
      </c>
      <c r="BI24" s="757">
        <f t="shared" si="83"/>
        <v>1.5561946902654868</v>
      </c>
      <c r="BJ24" s="755">
        <f t="shared" si="266"/>
        <v>2.15</v>
      </c>
      <c r="BK24" s="756">
        <f t="shared" ref="BK24" si="508">3.517/BJ24</f>
        <v>1.6358139534883722</v>
      </c>
      <c r="BL24" s="757">
        <f t="shared" si="86"/>
        <v>1.6358139534883722</v>
      </c>
      <c r="BM24" s="755">
        <f t="shared" si="266"/>
        <v>2.2200000000000002</v>
      </c>
      <c r="BN24" s="756">
        <f t="shared" ref="BN24" si="509">3.517/BM24</f>
        <v>1.5842342342342342</v>
      </c>
      <c r="BO24" s="757">
        <f t="shared" si="89"/>
        <v>1.5842342342342342</v>
      </c>
      <c r="BP24" s="755">
        <f t="shared" si="266"/>
        <v>1.89</v>
      </c>
      <c r="BQ24" s="756">
        <f t="shared" ref="BQ24" si="510">3.517/BP24</f>
        <v>1.860846560846561</v>
      </c>
      <c r="BR24" s="757">
        <f t="shared" si="92"/>
        <v>1.860846560846561</v>
      </c>
      <c r="BS24" s="755">
        <f t="shared" si="395"/>
        <v>1.85</v>
      </c>
      <c r="BT24" s="756">
        <f t="shared" ref="BT24" si="511">3.517/BS24</f>
        <v>1.901081081081081</v>
      </c>
      <c r="BU24" s="757">
        <f t="shared" si="95"/>
        <v>1.901081081081081</v>
      </c>
      <c r="BV24" s="755">
        <v>2.7</v>
      </c>
      <c r="BW24" s="756">
        <v>1.3025925925925901</v>
      </c>
      <c r="BX24" s="757">
        <v>1.3025925925925901</v>
      </c>
      <c r="BY24" s="755">
        <v>2.58</v>
      </c>
      <c r="BZ24" s="756">
        <v>1.3631782945736399</v>
      </c>
      <c r="CA24" s="757">
        <v>1.3631782945736399</v>
      </c>
      <c r="CB24" s="755">
        <v>2.36</v>
      </c>
      <c r="CC24" s="756">
        <v>1.49025423728814</v>
      </c>
      <c r="CD24" s="757">
        <v>1.49025423728814</v>
      </c>
      <c r="CE24" s="755">
        <v>2.16</v>
      </c>
      <c r="CF24" s="756">
        <v>1.62824074074074</v>
      </c>
      <c r="CG24" s="757">
        <v>1.62824074074074</v>
      </c>
      <c r="CH24" s="755">
        <v>2.04</v>
      </c>
      <c r="CI24" s="756">
        <v>1.72401960784314</v>
      </c>
      <c r="CJ24" s="757">
        <v>1.72401960784314</v>
      </c>
      <c r="CK24" s="755">
        <v>1.79</v>
      </c>
      <c r="CL24" s="756">
        <v>1.9648044692737401</v>
      </c>
      <c r="CM24" s="757">
        <v>1.9648044692737401</v>
      </c>
      <c r="CN24" s="755">
        <v>2.56</v>
      </c>
      <c r="CO24" s="756">
        <v>1.373828125</v>
      </c>
      <c r="CP24" s="757">
        <v>1.373828125</v>
      </c>
      <c r="CQ24" s="755">
        <v>2.2400000000000002</v>
      </c>
      <c r="CR24" s="756">
        <v>1.5700892857142901</v>
      </c>
      <c r="CS24" s="757">
        <v>1.5700892857142901</v>
      </c>
      <c r="CT24" s="755">
        <v>2.21</v>
      </c>
      <c r="CU24" s="756">
        <v>1.5914027149321299</v>
      </c>
      <c r="CV24" s="757">
        <v>1.5914027149321299</v>
      </c>
      <c r="CW24" s="755">
        <v>2.2200000000000002</v>
      </c>
      <c r="CX24" s="756">
        <v>1.5842342342342299</v>
      </c>
      <c r="CY24" s="757">
        <v>1.5842342342342299</v>
      </c>
      <c r="CZ24" s="755">
        <v>1.89</v>
      </c>
      <c r="DA24" s="756">
        <v>1.8608465608465601</v>
      </c>
      <c r="DB24" s="757">
        <v>1.8608465608465601</v>
      </c>
      <c r="DC24" s="755">
        <v>1.89</v>
      </c>
      <c r="DD24" s="756">
        <v>1.8608465608465601</v>
      </c>
      <c r="DE24" s="757">
        <v>1.8608465608465601</v>
      </c>
    </row>
    <row r="25" spans="1:109" x14ac:dyDescent="0.25">
      <c r="A25" s="759">
        <v>2016</v>
      </c>
      <c r="B25" s="755">
        <f t="shared" si="24"/>
        <v>2.7</v>
      </c>
      <c r="C25" s="756">
        <f t="shared" si="25"/>
        <v>1.3025925925925925</v>
      </c>
      <c r="D25" s="757">
        <f t="shared" si="26"/>
        <v>1.3025925925925925</v>
      </c>
      <c r="E25" s="755">
        <f t="shared" si="266"/>
        <v>2.58</v>
      </c>
      <c r="F25" s="756">
        <f t="shared" ref="F25" si="512">3.517/E25</f>
        <v>1.3631782945736433</v>
      </c>
      <c r="G25" s="757">
        <f t="shared" si="29"/>
        <v>1.3631782945736433</v>
      </c>
      <c r="H25" s="755">
        <f t="shared" si="266"/>
        <v>2.36</v>
      </c>
      <c r="I25" s="756">
        <f t="shared" ref="I25" si="513">3.517/H25</f>
        <v>1.4902542372881356</v>
      </c>
      <c r="J25" s="757">
        <f t="shared" si="32"/>
        <v>1.4902542372881356</v>
      </c>
      <c r="K25" s="755">
        <f t="shared" si="266"/>
        <v>2.82</v>
      </c>
      <c r="L25" s="756">
        <f t="shared" ref="L25" si="514">3.517/K25</f>
        <v>1.2471631205673759</v>
      </c>
      <c r="M25" s="757">
        <f t="shared" si="35"/>
        <v>1.2471631205673759</v>
      </c>
      <c r="N25" s="755">
        <f t="shared" si="266"/>
        <v>2.73</v>
      </c>
      <c r="O25" s="756">
        <f t="shared" ref="O25" si="515">3.517/N25</f>
        <v>1.2882783882783881</v>
      </c>
      <c r="P25" s="757">
        <f t="shared" si="38"/>
        <v>1.2882783882783881</v>
      </c>
      <c r="Q25" s="755">
        <f t="shared" si="266"/>
        <v>2.67</v>
      </c>
      <c r="R25" s="756">
        <f t="shared" ref="R25" si="516">3.517/Q25</f>
        <v>1.3172284644194756</v>
      </c>
      <c r="S25" s="757">
        <f t="shared" si="41"/>
        <v>1.3172284644194756</v>
      </c>
      <c r="T25" s="755">
        <f t="shared" si="266"/>
        <v>2.75</v>
      </c>
      <c r="U25" s="756">
        <f t="shared" ref="U25" si="517">3.517/T25</f>
        <v>1.2789090909090908</v>
      </c>
      <c r="V25" s="757">
        <f t="shared" si="44"/>
        <v>1.2789090909090908</v>
      </c>
      <c r="W25" s="755">
        <f t="shared" si="266"/>
        <v>2.66</v>
      </c>
      <c r="X25" s="756">
        <f t="shared" ref="X25" si="518">3.517/W25</f>
        <v>1.3221804511278195</v>
      </c>
      <c r="Y25" s="757">
        <f t="shared" si="47"/>
        <v>1.3221804511278195</v>
      </c>
      <c r="Z25" s="755">
        <f t="shared" si="266"/>
        <v>2.6</v>
      </c>
      <c r="AA25" s="756">
        <f t="shared" ref="AA25" si="519">3.517/Z25</f>
        <v>1.3526923076923076</v>
      </c>
      <c r="AB25" s="757">
        <f t="shared" si="50"/>
        <v>1.3526923076923076</v>
      </c>
      <c r="AC25" s="755">
        <f t="shared" si="266"/>
        <v>2.56</v>
      </c>
      <c r="AD25" s="756">
        <f t="shared" ref="AD25" si="520">3.517/AC25</f>
        <v>1.373828125</v>
      </c>
      <c r="AE25" s="757">
        <f t="shared" si="53"/>
        <v>1.373828125</v>
      </c>
      <c r="AF25" s="755">
        <f t="shared" si="266"/>
        <v>2.2400000000000002</v>
      </c>
      <c r="AG25" s="756">
        <f t="shared" ref="AG25" si="521">3.517/AF25</f>
        <v>1.5700892857142856</v>
      </c>
      <c r="AH25" s="757">
        <f t="shared" si="56"/>
        <v>1.5700892857142856</v>
      </c>
      <c r="AI25" s="755">
        <f t="shared" si="266"/>
        <v>2.21</v>
      </c>
      <c r="AJ25" s="756">
        <f t="shared" ref="AJ25" si="522">3.517/AI25</f>
        <v>1.5914027149321266</v>
      </c>
      <c r="AK25" s="757">
        <f t="shared" si="59"/>
        <v>1.5914027149321266</v>
      </c>
      <c r="AL25" s="755">
        <f t="shared" ref="AL25:AL34" si="523">AL$36</f>
        <v>2.16</v>
      </c>
      <c r="AM25" s="756">
        <f t="shared" ref="AM25" si="524">3.517/AL25</f>
        <v>1.6282407407407407</v>
      </c>
      <c r="AN25" s="757">
        <f t="shared" si="62"/>
        <v>1.6282407407407407</v>
      </c>
      <c r="AO25" s="755">
        <f t="shared" ref="AO25:AO34" si="525">AO$36</f>
        <v>2.04</v>
      </c>
      <c r="AP25" s="756">
        <f t="shared" ref="AP25" si="526">3.517/AO25</f>
        <v>1.7240196078431371</v>
      </c>
      <c r="AQ25" s="757">
        <f t="shared" si="65"/>
        <v>1.7240196078431371</v>
      </c>
      <c r="AR25" s="755">
        <f t="shared" ref="AR25:AR34" si="527">AR$36</f>
        <v>1.79</v>
      </c>
      <c r="AS25" s="756">
        <f t="shared" ref="AS25" si="528">3.517/AR25</f>
        <v>1.964804469273743</v>
      </c>
      <c r="AT25" s="757">
        <f t="shared" si="68"/>
        <v>1.964804469273743</v>
      </c>
      <c r="AU25" s="755">
        <f t="shared" ref="AU25:AU34" si="529">AU$36</f>
        <v>2.4300000000000002</v>
      </c>
      <c r="AV25" s="756">
        <f t="shared" ref="AV25" si="530">3.517/AU25</f>
        <v>1.4473251028806584</v>
      </c>
      <c r="AW25" s="757">
        <f t="shared" si="71"/>
        <v>1.4473251028806584</v>
      </c>
      <c r="AX25" s="755">
        <f t="shared" ref="AX25:AX34" si="531">AX$36</f>
        <v>2.3199999999999998</v>
      </c>
      <c r="AY25" s="756">
        <f t="shared" ref="AY25" si="532">3.517/AX25</f>
        <v>1.515948275862069</v>
      </c>
      <c r="AZ25" s="757">
        <f t="shared" si="74"/>
        <v>1.515948275862069</v>
      </c>
      <c r="BA25" s="755">
        <f t="shared" ref="BA25:BA34" si="533">BA$36</f>
        <v>2.2000000000000002</v>
      </c>
      <c r="BB25" s="756">
        <f t="shared" ref="BB25" si="534">3.517/BA25</f>
        <v>1.5986363636363634</v>
      </c>
      <c r="BC25" s="757">
        <f t="shared" si="77"/>
        <v>1.5986363636363634</v>
      </c>
      <c r="BD25" s="755">
        <f t="shared" ref="BD25:BD34" si="535">BD$36</f>
        <v>2.39</v>
      </c>
      <c r="BE25" s="756">
        <f t="shared" ref="BE25" si="536">3.517/BD25</f>
        <v>1.4715481171548117</v>
      </c>
      <c r="BF25" s="757">
        <f t="shared" si="80"/>
        <v>1.4715481171548117</v>
      </c>
      <c r="BG25" s="755">
        <f t="shared" ref="BG25:BG34" si="537">BG$36</f>
        <v>2.2599999999999998</v>
      </c>
      <c r="BH25" s="756">
        <f t="shared" ref="BH25" si="538">3.517/BG25</f>
        <v>1.5561946902654868</v>
      </c>
      <c r="BI25" s="757">
        <f t="shared" si="83"/>
        <v>1.5561946902654868</v>
      </c>
      <c r="BJ25" s="755">
        <f t="shared" ref="BJ25:BJ34" si="539">BJ$36</f>
        <v>2.15</v>
      </c>
      <c r="BK25" s="756">
        <f t="shared" ref="BK25" si="540">3.517/BJ25</f>
        <v>1.6358139534883722</v>
      </c>
      <c r="BL25" s="757">
        <f t="shared" si="86"/>
        <v>1.6358139534883722</v>
      </c>
      <c r="BM25" s="755">
        <f t="shared" ref="BM25:BM34" si="541">BM$36</f>
        <v>2.2200000000000002</v>
      </c>
      <c r="BN25" s="756">
        <f t="shared" ref="BN25" si="542">3.517/BM25</f>
        <v>1.5842342342342342</v>
      </c>
      <c r="BO25" s="757">
        <f t="shared" si="89"/>
        <v>1.5842342342342342</v>
      </c>
      <c r="BP25" s="755">
        <f t="shared" ref="BP25:BP34" si="543">BP$36</f>
        <v>1.89</v>
      </c>
      <c r="BQ25" s="756">
        <f t="shared" ref="BQ25" si="544">3.517/BP25</f>
        <v>1.860846560846561</v>
      </c>
      <c r="BR25" s="757">
        <f t="shared" si="92"/>
        <v>1.860846560846561</v>
      </c>
      <c r="BS25" s="755">
        <f t="shared" ref="BS25:BS34" si="545">BS$36</f>
        <v>1.85</v>
      </c>
      <c r="BT25" s="756">
        <f t="shared" ref="BT25" si="546">3.517/BS25</f>
        <v>1.901081081081081</v>
      </c>
      <c r="BU25" s="757">
        <f t="shared" si="95"/>
        <v>1.901081081081081</v>
      </c>
      <c r="BV25" s="755">
        <v>2.7</v>
      </c>
      <c r="BW25" s="756">
        <v>1.3025925925925901</v>
      </c>
      <c r="BX25" s="757">
        <v>1.3025925925925901</v>
      </c>
      <c r="BY25" s="755">
        <v>2.58</v>
      </c>
      <c r="BZ25" s="756">
        <v>1.3631782945736399</v>
      </c>
      <c r="CA25" s="757">
        <v>1.3631782945736399</v>
      </c>
      <c r="CB25" s="755">
        <v>2.36</v>
      </c>
      <c r="CC25" s="756">
        <v>1.49025423728814</v>
      </c>
      <c r="CD25" s="757">
        <v>1.49025423728814</v>
      </c>
      <c r="CE25" s="755">
        <v>2.16</v>
      </c>
      <c r="CF25" s="756">
        <v>1.62824074074074</v>
      </c>
      <c r="CG25" s="757">
        <v>1.62824074074074</v>
      </c>
      <c r="CH25" s="755">
        <v>2.04</v>
      </c>
      <c r="CI25" s="756">
        <v>1.72401960784314</v>
      </c>
      <c r="CJ25" s="757">
        <v>1.72401960784314</v>
      </c>
      <c r="CK25" s="755">
        <v>1.79</v>
      </c>
      <c r="CL25" s="756">
        <v>1.9648044692737401</v>
      </c>
      <c r="CM25" s="757">
        <v>1.9648044692737401</v>
      </c>
      <c r="CN25" s="755">
        <v>2.56</v>
      </c>
      <c r="CO25" s="756">
        <v>1.373828125</v>
      </c>
      <c r="CP25" s="757">
        <v>1.373828125</v>
      </c>
      <c r="CQ25" s="755">
        <v>2.2400000000000002</v>
      </c>
      <c r="CR25" s="756">
        <v>1.5700892857142901</v>
      </c>
      <c r="CS25" s="757">
        <v>1.5700892857142901</v>
      </c>
      <c r="CT25" s="755">
        <v>2.21</v>
      </c>
      <c r="CU25" s="756">
        <v>1.5914027149321299</v>
      </c>
      <c r="CV25" s="757">
        <v>1.5914027149321299</v>
      </c>
      <c r="CW25" s="755">
        <v>2.2200000000000002</v>
      </c>
      <c r="CX25" s="756">
        <v>1.5842342342342299</v>
      </c>
      <c r="CY25" s="757">
        <v>1.5842342342342299</v>
      </c>
      <c r="CZ25" s="755">
        <v>1.89</v>
      </c>
      <c r="DA25" s="756">
        <v>1.8608465608465601</v>
      </c>
      <c r="DB25" s="757">
        <v>1.8608465608465601</v>
      </c>
      <c r="DC25" s="755">
        <v>1.89</v>
      </c>
      <c r="DD25" s="756">
        <v>1.8608465608465601</v>
      </c>
      <c r="DE25" s="757">
        <v>1.8608465608465601</v>
      </c>
    </row>
    <row r="26" spans="1:109" x14ac:dyDescent="0.25">
      <c r="A26" s="759">
        <v>2017</v>
      </c>
      <c r="B26" s="755">
        <f t="shared" si="24"/>
        <v>2.7</v>
      </c>
      <c r="C26" s="756">
        <f t="shared" ref="C26:C31" si="547">3.517/B26</f>
        <v>1.3025925925925925</v>
      </c>
      <c r="D26" s="757">
        <f t="shared" ref="D26:D31" si="548">C26</f>
        <v>1.3025925925925925</v>
      </c>
      <c r="E26" s="755">
        <f t="shared" si="266"/>
        <v>2.58</v>
      </c>
      <c r="F26" s="756">
        <f t="shared" ref="F26:F31" si="549">3.517/E26</f>
        <v>1.3631782945736433</v>
      </c>
      <c r="G26" s="757">
        <f t="shared" ref="G26:G31" si="550">F26</f>
        <v>1.3631782945736433</v>
      </c>
      <c r="H26" s="755">
        <f t="shared" si="266"/>
        <v>2.36</v>
      </c>
      <c r="I26" s="756">
        <f t="shared" ref="I26:I31" si="551">3.517/H26</f>
        <v>1.4902542372881356</v>
      </c>
      <c r="J26" s="757">
        <f t="shared" ref="J26:J31" si="552">I26</f>
        <v>1.4902542372881356</v>
      </c>
      <c r="K26" s="755">
        <f t="shared" si="266"/>
        <v>2.82</v>
      </c>
      <c r="L26" s="756">
        <f t="shared" ref="L26:L31" si="553">3.517/K26</f>
        <v>1.2471631205673759</v>
      </c>
      <c r="M26" s="757">
        <f t="shared" ref="M26:M31" si="554">L26</f>
        <v>1.2471631205673759</v>
      </c>
      <c r="N26" s="755">
        <f t="shared" si="266"/>
        <v>2.73</v>
      </c>
      <c r="O26" s="756">
        <f t="shared" ref="O26:O31" si="555">3.517/N26</f>
        <v>1.2882783882783881</v>
      </c>
      <c r="P26" s="757">
        <f t="shared" ref="P26:P31" si="556">O26</f>
        <v>1.2882783882783881</v>
      </c>
      <c r="Q26" s="755">
        <f t="shared" si="266"/>
        <v>2.67</v>
      </c>
      <c r="R26" s="756">
        <f t="shared" ref="R26:R31" si="557">3.517/Q26</f>
        <v>1.3172284644194756</v>
      </c>
      <c r="S26" s="757">
        <f t="shared" ref="S26:S31" si="558">R26</f>
        <v>1.3172284644194756</v>
      </c>
      <c r="T26" s="755">
        <f t="shared" si="266"/>
        <v>2.75</v>
      </c>
      <c r="U26" s="756">
        <f t="shared" ref="U26:U31" si="559">3.517/T26</f>
        <v>1.2789090909090908</v>
      </c>
      <c r="V26" s="757">
        <f t="shared" ref="V26:V31" si="560">U26</f>
        <v>1.2789090909090908</v>
      </c>
      <c r="W26" s="755">
        <f t="shared" si="266"/>
        <v>2.66</v>
      </c>
      <c r="X26" s="756">
        <f t="shared" ref="X26:X31" si="561">3.517/W26</f>
        <v>1.3221804511278195</v>
      </c>
      <c r="Y26" s="757">
        <f t="shared" ref="Y26:Y31" si="562">X26</f>
        <v>1.3221804511278195</v>
      </c>
      <c r="Z26" s="755">
        <f t="shared" si="266"/>
        <v>2.6</v>
      </c>
      <c r="AA26" s="756">
        <f t="shared" ref="AA26:AA31" si="563">3.517/Z26</f>
        <v>1.3526923076923076</v>
      </c>
      <c r="AB26" s="757">
        <f t="shared" ref="AB26:AB31" si="564">AA26</f>
        <v>1.3526923076923076</v>
      </c>
      <c r="AC26" s="755">
        <f t="shared" si="266"/>
        <v>2.56</v>
      </c>
      <c r="AD26" s="756">
        <f t="shared" ref="AD26:AD31" si="565">3.517/AC26</f>
        <v>1.373828125</v>
      </c>
      <c r="AE26" s="757">
        <f t="shared" ref="AE26:AE31" si="566">AD26</f>
        <v>1.373828125</v>
      </c>
      <c r="AF26" s="755">
        <f t="shared" si="266"/>
        <v>2.2400000000000002</v>
      </c>
      <c r="AG26" s="756">
        <f t="shared" ref="AG26:AG31" si="567">3.517/AF26</f>
        <v>1.5700892857142856</v>
      </c>
      <c r="AH26" s="757">
        <f t="shared" ref="AH26:AH31" si="568">AG26</f>
        <v>1.5700892857142856</v>
      </c>
      <c r="AI26" s="755">
        <f t="shared" si="266"/>
        <v>2.21</v>
      </c>
      <c r="AJ26" s="756">
        <f t="shared" ref="AJ26:AJ31" si="569">3.517/AI26</f>
        <v>1.5914027149321266</v>
      </c>
      <c r="AK26" s="757">
        <f t="shared" ref="AK26:AK31" si="570">AJ26</f>
        <v>1.5914027149321266</v>
      </c>
      <c r="AL26" s="755">
        <f t="shared" si="523"/>
        <v>2.16</v>
      </c>
      <c r="AM26" s="756">
        <f t="shared" ref="AM26:AM31" si="571">3.517/AL26</f>
        <v>1.6282407407407407</v>
      </c>
      <c r="AN26" s="757">
        <f t="shared" ref="AN26:AN31" si="572">AM26</f>
        <v>1.6282407407407407</v>
      </c>
      <c r="AO26" s="755">
        <f t="shared" si="525"/>
        <v>2.04</v>
      </c>
      <c r="AP26" s="756">
        <f t="shared" ref="AP26:AP31" si="573">3.517/AO26</f>
        <v>1.7240196078431371</v>
      </c>
      <c r="AQ26" s="757">
        <f t="shared" ref="AQ26:AQ31" si="574">AP26</f>
        <v>1.7240196078431371</v>
      </c>
      <c r="AR26" s="755">
        <f t="shared" si="527"/>
        <v>1.79</v>
      </c>
      <c r="AS26" s="756">
        <f t="shared" ref="AS26:AS31" si="575">3.517/AR26</f>
        <v>1.964804469273743</v>
      </c>
      <c r="AT26" s="757">
        <f t="shared" ref="AT26:AT31" si="576">AS26</f>
        <v>1.964804469273743</v>
      </c>
      <c r="AU26" s="755">
        <f t="shared" si="529"/>
        <v>2.4300000000000002</v>
      </c>
      <c r="AV26" s="756">
        <f t="shared" ref="AV26:AV31" si="577">3.517/AU26</f>
        <v>1.4473251028806584</v>
      </c>
      <c r="AW26" s="757">
        <f t="shared" ref="AW26:AW31" si="578">AV26</f>
        <v>1.4473251028806584</v>
      </c>
      <c r="AX26" s="755">
        <f t="shared" si="531"/>
        <v>2.3199999999999998</v>
      </c>
      <c r="AY26" s="756">
        <f t="shared" ref="AY26:AY31" si="579">3.517/AX26</f>
        <v>1.515948275862069</v>
      </c>
      <c r="AZ26" s="757">
        <f t="shared" ref="AZ26:AZ31" si="580">AY26</f>
        <v>1.515948275862069</v>
      </c>
      <c r="BA26" s="755">
        <f t="shared" si="533"/>
        <v>2.2000000000000002</v>
      </c>
      <c r="BB26" s="756">
        <f t="shared" ref="BB26:BB31" si="581">3.517/BA26</f>
        <v>1.5986363636363634</v>
      </c>
      <c r="BC26" s="757">
        <f t="shared" ref="BC26:BC31" si="582">BB26</f>
        <v>1.5986363636363634</v>
      </c>
      <c r="BD26" s="755">
        <f t="shared" si="535"/>
        <v>2.39</v>
      </c>
      <c r="BE26" s="756">
        <f t="shared" ref="BE26:BE31" si="583">3.517/BD26</f>
        <v>1.4715481171548117</v>
      </c>
      <c r="BF26" s="757">
        <f t="shared" ref="BF26:BF31" si="584">BE26</f>
        <v>1.4715481171548117</v>
      </c>
      <c r="BG26" s="755">
        <f t="shared" si="537"/>
        <v>2.2599999999999998</v>
      </c>
      <c r="BH26" s="756">
        <f t="shared" ref="BH26:BH31" si="585">3.517/BG26</f>
        <v>1.5561946902654868</v>
      </c>
      <c r="BI26" s="757">
        <f t="shared" ref="BI26:BI31" si="586">BH26</f>
        <v>1.5561946902654868</v>
      </c>
      <c r="BJ26" s="755">
        <f t="shared" si="539"/>
        <v>2.15</v>
      </c>
      <c r="BK26" s="756">
        <f t="shared" ref="BK26:BK31" si="587">3.517/BJ26</f>
        <v>1.6358139534883722</v>
      </c>
      <c r="BL26" s="757">
        <f t="shared" ref="BL26:BL31" si="588">BK26</f>
        <v>1.6358139534883722</v>
      </c>
      <c r="BM26" s="755">
        <f t="shared" si="541"/>
        <v>2.2200000000000002</v>
      </c>
      <c r="BN26" s="756">
        <f t="shared" ref="BN26:BN31" si="589">3.517/BM26</f>
        <v>1.5842342342342342</v>
      </c>
      <c r="BO26" s="757">
        <f t="shared" ref="BO26:BO31" si="590">BN26</f>
        <v>1.5842342342342342</v>
      </c>
      <c r="BP26" s="755">
        <f t="shared" si="543"/>
        <v>1.89</v>
      </c>
      <c r="BQ26" s="756">
        <f t="shared" ref="BQ26:BQ31" si="591">3.517/BP26</f>
        <v>1.860846560846561</v>
      </c>
      <c r="BR26" s="757">
        <f t="shared" ref="BR26:BR31" si="592">BQ26</f>
        <v>1.860846560846561</v>
      </c>
      <c r="BS26" s="755">
        <f t="shared" si="545"/>
        <v>1.85</v>
      </c>
      <c r="BT26" s="756">
        <f t="shared" ref="BT26:BT31" si="593">3.517/BS26</f>
        <v>1.901081081081081</v>
      </c>
      <c r="BU26" s="757">
        <f t="shared" ref="BU26:BU31" si="594">BT26</f>
        <v>1.901081081081081</v>
      </c>
      <c r="BV26" s="755">
        <v>2.7</v>
      </c>
      <c r="BW26" s="756">
        <v>1.3025925925925901</v>
      </c>
      <c r="BX26" s="757">
        <v>1.3025925925925901</v>
      </c>
      <c r="BY26" s="755">
        <v>2.58</v>
      </c>
      <c r="BZ26" s="756">
        <v>1.3631782945736399</v>
      </c>
      <c r="CA26" s="757">
        <v>1.3631782945736399</v>
      </c>
      <c r="CB26" s="755">
        <v>2.36</v>
      </c>
      <c r="CC26" s="756">
        <v>1.49025423728814</v>
      </c>
      <c r="CD26" s="757">
        <v>1.49025423728814</v>
      </c>
      <c r="CE26" s="755">
        <v>2.16</v>
      </c>
      <c r="CF26" s="756">
        <v>1.62824074074074</v>
      </c>
      <c r="CG26" s="757">
        <v>1.62824074074074</v>
      </c>
      <c r="CH26" s="755">
        <v>2.04</v>
      </c>
      <c r="CI26" s="756">
        <v>1.72401960784314</v>
      </c>
      <c r="CJ26" s="757">
        <v>1.72401960784314</v>
      </c>
      <c r="CK26" s="755">
        <v>1.79</v>
      </c>
      <c r="CL26" s="756">
        <v>1.9648044692737401</v>
      </c>
      <c r="CM26" s="757">
        <v>1.9648044692737401</v>
      </c>
      <c r="CN26" s="755">
        <v>2.56</v>
      </c>
      <c r="CO26" s="756">
        <v>1.373828125</v>
      </c>
      <c r="CP26" s="757">
        <v>1.373828125</v>
      </c>
      <c r="CQ26" s="755">
        <v>2.2400000000000002</v>
      </c>
      <c r="CR26" s="756">
        <v>1.5700892857142901</v>
      </c>
      <c r="CS26" s="757">
        <v>1.5700892857142901</v>
      </c>
      <c r="CT26" s="755">
        <v>2.21</v>
      </c>
      <c r="CU26" s="756">
        <v>1.5914027149321299</v>
      </c>
      <c r="CV26" s="757">
        <v>1.5914027149321299</v>
      </c>
      <c r="CW26" s="755">
        <v>2.2200000000000002</v>
      </c>
      <c r="CX26" s="756">
        <v>1.5842342342342299</v>
      </c>
      <c r="CY26" s="757">
        <v>1.5842342342342299</v>
      </c>
      <c r="CZ26" s="755">
        <v>1.89</v>
      </c>
      <c r="DA26" s="756">
        <v>1.8608465608465601</v>
      </c>
      <c r="DB26" s="757">
        <v>1.8608465608465601</v>
      </c>
      <c r="DC26" s="755">
        <v>1.89</v>
      </c>
      <c r="DD26" s="756">
        <v>1.8608465608465601</v>
      </c>
      <c r="DE26" s="757">
        <v>1.8608465608465601</v>
      </c>
    </row>
    <row r="27" spans="1:109" x14ac:dyDescent="0.25">
      <c r="A27" s="759">
        <v>2018</v>
      </c>
      <c r="B27" s="755">
        <f t="shared" ref="B27:B34" si="595">B$36</f>
        <v>2.7</v>
      </c>
      <c r="C27" s="756">
        <f t="shared" si="547"/>
        <v>1.3025925925925925</v>
      </c>
      <c r="D27" s="757">
        <f t="shared" si="548"/>
        <v>1.3025925925925925</v>
      </c>
      <c r="E27" s="755">
        <f t="shared" ref="E27:T34" si="596">E$36</f>
        <v>2.58</v>
      </c>
      <c r="F27" s="756">
        <f t="shared" si="549"/>
        <v>1.3631782945736433</v>
      </c>
      <c r="G27" s="757">
        <f t="shared" si="550"/>
        <v>1.3631782945736433</v>
      </c>
      <c r="H27" s="755">
        <f t="shared" si="596"/>
        <v>2.36</v>
      </c>
      <c r="I27" s="756">
        <f t="shared" si="551"/>
        <v>1.4902542372881356</v>
      </c>
      <c r="J27" s="757">
        <f t="shared" si="552"/>
        <v>1.4902542372881356</v>
      </c>
      <c r="K27" s="755">
        <f t="shared" si="596"/>
        <v>2.82</v>
      </c>
      <c r="L27" s="756">
        <f t="shared" si="553"/>
        <v>1.2471631205673759</v>
      </c>
      <c r="M27" s="757">
        <f t="shared" si="554"/>
        <v>1.2471631205673759</v>
      </c>
      <c r="N27" s="755">
        <f t="shared" si="596"/>
        <v>2.73</v>
      </c>
      <c r="O27" s="756">
        <f t="shared" si="555"/>
        <v>1.2882783882783881</v>
      </c>
      <c r="P27" s="757">
        <f t="shared" si="556"/>
        <v>1.2882783882783881</v>
      </c>
      <c r="Q27" s="755">
        <f t="shared" si="596"/>
        <v>2.67</v>
      </c>
      <c r="R27" s="756">
        <f t="shared" si="557"/>
        <v>1.3172284644194756</v>
      </c>
      <c r="S27" s="757">
        <f t="shared" si="558"/>
        <v>1.3172284644194756</v>
      </c>
      <c r="T27" s="755">
        <f t="shared" si="596"/>
        <v>2.75</v>
      </c>
      <c r="U27" s="756">
        <f t="shared" si="559"/>
        <v>1.2789090909090908</v>
      </c>
      <c r="V27" s="757">
        <f t="shared" si="560"/>
        <v>1.2789090909090908</v>
      </c>
      <c r="W27" s="755">
        <f t="shared" ref="W27:AI34" si="597">W$36</f>
        <v>2.66</v>
      </c>
      <c r="X27" s="756">
        <f t="shared" si="561"/>
        <v>1.3221804511278195</v>
      </c>
      <c r="Y27" s="757">
        <f t="shared" si="562"/>
        <v>1.3221804511278195</v>
      </c>
      <c r="Z27" s="755">
        <f t="shared" si="597"/>
        <v>2.6</v>
      </c>
      <c r="AA27" s="756">
        <f t="shared" si="563"/>
        <v>1.3526923076923076</v>
      </c>
      <c r="AB27" s="757">
        <f t="shared" si="564"/>
        <v>1.3526923076923076</v>
      </c>
      <c r="AC27" s="755">
        <f t="shared" si="597"/>
        <v>2.56</v>
      </c>
      <c r="AD27" s="756">
        <f t="shared" si="565"/>
        <v>1.373828125</v>
      </c>
      <c r="AE27" s="757">
        <f t="shared" si="566"/>
        <v>1.373828125</v>
      </c>
      <c r="AF27" s="755">
        <f t="shared" si="597"/>
        <v>2.2400000000000002</v>
      </c>
      <c r="AG27" s="756">
        <f t="shared" si="567"/>
        <v>1.5700892857142856</v>
      </c>
      <c r="AH27" s="757">
        <f t="shared" si="568"/>
        <v>1.5700892857142856</v>
      </c>
      <c r="AI27" s="755">
        <f t="shared" si="597"/>
        <v>2.21</v>
      </c>
      <c r="AJ27" s="756">
        <f t="shared" si="569"/>
        <v>1.5914027149321266</v>
      </c>
      <c r="AK27" s="757">
        <f t="shared" si="570"/>
        <v>1.5914027149321266</v>
      </c>
      <c r="AL27" s="755">
        <f t="shared" si="523"/>
        <v>2.16</v>
      </c>
      <c r="AM27" s="756">
        <f t="shared" si="571"/>
        <v>1.6282407407407407</v>
      </c>
      <c r="AN27" s="757">
        <f t="shared" si="572"/>
        <v>1.6282407407407407</v>
      </c>
      <c r="AO27" s="755">
        <f t="shared" si="525"/>
        <v>2.04</v>
      </c>
      <c r="AP27" s="756">
        <f t="shared" si="573"/>
        <v>1.7240196078431371</v>
      </c>
      <c r="AQ27" s="757">
        <f t="shared" si="574"/>
        <v>1.7240196078431371</v>
      </c>
      <c r="AR27" s="755">
        <f t="shared" si="527"/>
        <v>1.79</v>
      </c>
      <c r="AS27" s="756">
        <f t="shared" si="575"/>
        <v>1.964804469273743</v>
      </c>
      <c r="AT27" s="757">
        <f t="shared" si="576"/>
        <v>1.964804469273743</v>
      </c>
      <c r="AU27" s="755">
        <f t="shared" si="529"/>
        <v>2.4300000000000002</v>
      </c>
      <c r="AV27" s="756">
        <f t="shared" si="577"/>
        <v>1.4473251028806584</v>
      </c>
      <c r="AW27" s="757">
        <f t="shared" si="578"/>
        <v>1.4473251028806584</v>
      </c>
      <c r="AX27" s="755">
        <f t="shared" si="531"/>
        <v>2.3199999999999998</v>
      </c>
      <c r="AY27" s="756">
        <f t="shared" si="579"/>
        <v>1.515948275862069</v>
      </c>
      <c r="AZ27" s="757">
        <f t="shared" si="580"/>
        <v>1.515948275862069</v>
      </c>
      <c r="BA27" s="755">
        <f t="shared" si="533"/>
        <v>2.2000000000000002</v>
      </c>
      <c r="BB27" s="756">
        <f t="shared" si="581"/>
        <v>1.5986363636363634</v>
      </c>
      <c r="BC27" s="757">
        <f t="shared" si="582"/>
        <v>1.5986363636363634</v>
      </c>
      <c r="BD27" s="755">
        <f t="shared" si="535"/>
        <v>2.39</v>
      </c>
      <c r="BE27" s="756">
        <f t="shared" si="583"/>
        <v>1.4715481171548117</v>
      </c>
      <c r="BF27" s="757">
        <f t="shared" si="584"/>
        <v>1.4715481171548117</v>
      </c>
      <c r="BG27" s="755">
        <f t="shared" si="537"/>
        <v>2.2599999999999998</v>
      </c>
      <c r="BH27" s="756">
        <f t="shared" si="585"/>
        <v>1.5561946902654868</v>
      </c>
      <c r="BI27" s="757">
        <f t="shared" si="586"/>
        <v>1.5561946902654868</v>
      </c>
      <c r="BJ27" s="755">
        <f t="shared" si="539"/>
        <v>2.15</v>
      </c>
      <c r="BK27" s="756">
        <f t="shared" si="587"/>
        <v>1.6358139534883722</v>
      </c>
      <c r="BL27" s="757">
        <f t="shared" si="588"/>
        <v>1.6358139534883722</v>
      </c>
      <c r="BM27" s="755">
        <f t="shared" si="541"/>
        <v>2.2200000000000002</v>
      </c>
      <c r="BN27" s="756">
        <f t="shared" si="589"/>
        <v>1.5842342342342342</v>
      </c>
      <c r="BO27" s="757">
        <f t="shared" si="590"/>
        <v>1.5842342342342342</v>
      </c>
      <c r="BP27" s="755">
        <f t="shared" si="543"/>
        <v>1.89</v>
      </c>
      <c r="BQ27" s="756">
        <f t="shared" si="591"/>
        <v>1.860846560846561</v>
      </c>
      <c r="BR27" s="757">
        <f t="shared" si="592"/>
        <v>1.860846560846561</v>
      </c>
      <c r="BS27" s="755">
        <f t="shared" si="545"/>
        <v>1.85</v>
      </c>
      <c r="BT27" s="756">
        <f t="shared" si="593"/>
        <v>1.901081081081081</v>
      </c>
      <c r="BU27" s="757">
        <f t="shared" si="594"/>
        <v>1.901081081081081</v>
      </c>
      <c r="BV27" s="755">
        <v>2.7</v>
      </c>
      <c r="BW27" s="756">
        <v>1.3025925925925901</v>
      </c>
      <c r="BX27" s="757">
        <v>1.3025925925925901</v>
      </c>
      <c r="BY27" s="755">
        <v>2.58</v>
      </c>
      <c r="BZ27" s="756">
        <v>1.3631782945736399</v>
      </c>
      <c r="CA27" s="757">
        <v>1.3631782945736399</v>
      </c>
      <c r="CB27" s="755">
        <v>2.36</v>
      </c>
      <c r="CC27" s="756">
        <v>1.49025423728814</v>
      </c>
      <c r="CD27" s="757">
        <v>1.49025423728814</v>
      </c>
      <c r="CE27" s="755">
        <v>2.16</v>
      </c>
      <c r="CF27" s="756">
        <v>1.62824074074074</v>
      </c>
      <c r="CG27" s="757">
        <v>1.62824074074074</v>
      </c>
      <c r="CH27" s="755">
        <v>2.04</v>
      </c>
      <c r="CI27" s="756">
        <v>1.72401960784314</v>
      </c>
      <c r="CJ27" s="757">
        <v>1.72401960784314</v>
      </c>
      <c r="CK27" s="755">
        <v>1.79</v>
      </c>
      <c r="CL27" s="756">
        <v>1.9648044692737401</v>
      </c>
      <c r="CM27" s="757">
        <v>1.9648044692737401</v>
      </c>
      <c r="CN27" s="755">
        <v>2.56</v>
      </c>
      <c r="CO27" s="756">
        <v>1.373828125</v>
      </c>
      <c r="CP27" s="757">
        <v>1.373828125</v>
      </c>
      <c r="CQ27" s="755">
        <v>2.2400000000000002</v>
      </c>
      <c r="CR27" s="756">
        <v>1.5700892857142901</v>
      </c>
      <c r="CS27" s="757">
        <v>1.5700892857142901</v>
      </c>
      <c r="CT27" s="755">
        <v>2.21</v>
      </c>
      <c r="CU27" s="756">
        <v>1.5914027149321299</v>
      </c>
      <c r="CV27" s="757">
        <v>1.5914027149321299</v>
      </c>
      <c r="CW27" s="755">
        <v>2.2200000000000002</v>
      </c>
      <c r="CX27" s="756">
        <v>1.5842342342342299</v>
      </c>
      <c r="CY27" s="757">
        <v>1.5842342342342299</v>
      </c>
      <c r="CZ27" s="755">
        <v>1.89</v>
      </c>
      <c r="DA27" s="756">
        <v>1.8608465608465601</v>
      </c>
      <c r="DB27" s="757">
        <v>1.8608465608465601</v>
      </c>
      <c r="DC27" s="755">
        <v>1.89</v>
      </c>
      <c r="DD27" s="756">
        <v>1.8608465608465601</v>
      </c>
      <c r="DE27" s="757">
        <v>1.8608465608465601</v>
      </c>
    </row>
    <row r="28" spans="1:109" x14ac:dyDescent="0.25">
      <c r="A28" s="759">
        <v>2019</v>
      </c>
      <c r="B28" s="755">
        <f t="shared" si="595"/>
        <v>2.7</v>
      </c>
      <c r="C28" s="756">
        <f t="shared" si="547"/>
        <v>1.3025925925925925</v>
      </c>
      <c r="D28" s="757">
        <f t="shared" si="548"/>
        <v>1.3025925925925925</v>
      </c>
      <c r="E28" s="755">
        <f t="shared" si="596"/>
        <v>2.58</v>
      </c>
      <c r="F28" s="756">
        <f t="shared" si="549"/>
        <v>1.3631782945736433</v>
      </c>
      <c r="G28" s="757">
        <f t="shared" si="550"/>
        <v>1.3631782945736433</v>
      </c>
      <c r="H28" s="755">
        <f t="shared" si="596"/>
        <v>2.36</v>
      </c>
      <c r="I28" s="756">
        <f t="shared" si="551"/>
        <v>1.4902542372881356</v>
      </c>
      <c r="J28" s="757">
        <f t="shared" si="552"/>
        <v>1.4902542372881356</v>
      </c>
      <c r="K28" s="755">
        <f t="shared" si="596"/>
        <v>2.82</v>
      </c>
      <c r="L28" s="756">
        <f t="shared" si="553"/>
        <v>1.2471631205673759</v>
      </c>
      <c r="M28" s="757">
        <f t="shared" si="554"/>
        <v>1.2471631205673759</v>
      </c>
      <c r="N28" s="755">
        <f t="shared" si="596"/>
        <v>2.73</v>
      </c>
      <c r="O28" s="756">
        <f t="shared" si="555"/>
        <v>1.2882783882783881</v>
      </c>
      <c r="P28" s="757">
        <f t="shared" si="556"/>
        <v>1.2882783882783881</v>
      </c>
      <c r="Q28" s="755">
        <f t="shared" si="596"/>
        <v>2.67</v>
      </c>
      <c r="R28" s="756">
        <f t="shared" si="557"/>
        <v>1.3172284644194756</v>
      </c>
      <c r="S28" s="757">
        <f t="shared" si="558"/>
        <v>1.3172284644194756</v>
      </c>
      <c r="T28" s="755">
        <f t="shared" si="596"/>
        <v>2.75</v>
      </c>
      <c r="U28" s="756">
        <f t="shared" si="559"/>
        <v>1.2789090909090908</v>
      </c>
      <c r="V28" s="757">
        <f t="shared" si="560"/>
        <v>1.2789090909090908</v>
      </c>
      <c r="W28" s="755">
        <f t="shared" si="597"/>
        <v>2.66</v>
      </c>
      <c r="X28" s="756">
        <f t="shared" si="561"/>
        <v>1.3221804511278195</v>
      </c>
      <c r="Y28" s="757">
        <f t="shared" si="562"/>
        <v>1.3221804511278195</v>
      </c>
      <c r="Z28" s="755">
        <f t="shared" si="597"/>
        <v>2.6</v>
      </c>
      <c r="AA28" s="756">
        <f t="shared" si="563"/>
        <v>1.3526923076923076</v>
      </c>
      <c r="AB28" s="757">
        <f t="shared" si="564"/>
        <v>1.3526923076923076</v>
      </c>
      <c r="AC28" s="755">
        <f t="shared" si="597"/>
        <v>2.56</v>
      </c>
      <c r="AD28" s="756">
        <f t="shared" si="565"/>
        <v>1.373828125</v>
      </c>
      <c r="AE28" s="757">
        <f t="shared" si="566"/>
        <v>1.373828125</v>
      </c>
      <c r="AF28" s="755">
        <f t="shared" si="597"/>
        <v>2.2400000000000002</v>
      </c>
      <c r="AG28" s="756">
        <f t="shared" si="567"/>
        <v>1.5700892857142856</v>
      </c>
      <c r="AH28" s="757">
        <f t="shared" si="568"/>
        <v>1.5700892857142856</v>
      </c>
      <c r="AI28" s="755">
        <f t="shared" si="597"/>
        <v>2.21</v>
      </c>
      <c r="AJ28" s="756">
        <f t="shared" si="569"/>
        <v>1.5914027149321266</v>
      </c>
      <c r="AK28" s="757">
        <f t="shared" si="570"/>
        <v>1.5914027149321266</v>
      </c>
      <c r="AL28" s="755">
        <f t="shared" si="523"/>
        <v>2.16</v>
      </c>
      <c r="AM28" s="756">
        <f t="shared" si="571"/>
        <v>1.6282407407407407</v>
      </c>
      <c r="AN28" s="757">
        <f t="shared" si="572"/>
        <v>1.6282407407407407</v>
      </c>
      <c r="AO28" s="755">
        <f t="shared" si="525"/>
        <v>2.04</v>
      </c>
      <c r="AP28" s="756">
        <f t="shared" si="573"/>
        <v>1.7240196078431371</v>
      </c>
      <c r="AQ28" s="757">
        <f t="shared" si="574"/>
        <v>1.7240196078431371</v>
      </c>
      <c r="AR28" s="755">
        <f t="shared" si="527"/>
        <v>1.79</v>
      </c>
      <c r="AS28" s="756">
        <f t="shared" si="575"/>
        <v>1.964804469273743</v>
      </c>
      <c r="AT28" s="757">
        <f t="shared" si="576"/>
        <v>1.964804469273743</v>
      </c>
      <c r="AU28" s="755">
        <f t="shared" si="529"/>
        <v>2.4300000000000002</v>
      </c>
      <c r="AV28" s="756">
        <f t="shared" si="577"/>
        <v>1.4473251028806584</v>
      </c>
      <c r="AW28" s="757">
        <f t="shared" si="578"/>
        <v>1.4473251028806584</v>
      </c>
      <c r="AX28" s="755">
        <f t="shared" si="531"/>
        <v>2.3199999999999998</v>
      </c>
      <c r="AY28" s="756">
        <f t="shared" si="579"/>
        <v>1.515948275862069</v>
      </c>
      <c r="AZ28" s="757">
        <f t="shared" si="580"/>
        <v>1.515948275862069</v>
      </c>
      <c r="BA28" s="755">
        <f t="shared" si="533"/>
        <v>2.2000000000000002</v>
      </c>
      <c r="BB28" s="756">
        <f t="shared" si="581"/>
        <v>1.5986363636363634</v>
      </c>
      <c r="BC28" s="757">
        <f t="shared" si="582"/>
        <v>1.5986363636363634</v>
      </c>
      <c r="BD28" s="755">
        <f t="shared" si="535"/>
        <v>2.39</v>
      </c>
      <c r="BE28" s="756">
        <f t="shared" si="583"/>
        <v>1.4715481171548117</v>
      </c>
      <c r="BF28" s="757">
        <f t="shared" si="584"/>
        <v>1.4715481171548117</v>
      </c>
      <c r="BG28" s="755">
        <f t="shared" si="537"/>
        <v>2.2599999999999998</v>
      </c>
      <c r="BH28" s="756">
        <f t="shared" si="585"/>
        <v>1.5561946902654868</v>
      </c>
      <c r="BI28" s="757">
        <f t="shared" si="586"/>
        <v>1.5561946902654868</v>
      </c>
      <c r="BJ28" s="755">
        <f t="shared" si="539"/>
        <v>2.15</v>
      </c>
      <c r="BK28" s="756">
        <f t="shared" si="587"/>
        <v>1.6358139534883722</v>
      </c>
      <c r="BL28" s="757">
        <f t="shared" si="588"/>
        <v>1.6358139534883722</v>
      </c>
      <c r="BM28" s="755">
        <f t="shared" si="541"/>
        <v>2.2200000000000002</v>
      </c>
      <c r="BN28" s="756">
        <f t="shared" si="589"/>
        <v>1.5842342342342342</v>
      </c>
      <c r="BO28" s="757">
        <f t="shared" si="590"/>
        <v>1.5842342342342342</v>
      </c>
      <c r="BP28" s="755">
        <f t="shared" si="543"/>
        <v>1.89</v>
      </c>
      <c r="BQ28" s="756">
        <f t="shared" si="591"/>
        <v>1.860846560846561</v>
      </c>
      <c r="BR28" s="757">
        <f t="shared" si="592"/>
        <v>1.860846560846561</v>
      </c>
      <c r="BS28" s="755">
        <f t="shared" si="545"/>
        <v>1.85</v>
      </c>
      <c r="BT28" s="756">
        <f t="shared" si="593"/>
        <v>1.901081081081081</v>
      </c>
      <c r="BU28" s="757">
        <f t="shared" si="594"/>
        <v>1.901081081081081</v>
      </c>
      <c r="BV28" s="755">
        <v>2.7</v>
      </c>
      <c r="BW28" s="756">
        <v>1.3025925925925901</v>
      </c>
      <c r="BX28" s="757">
        <v>1.3025925925925901</v>
      </c>
      <c r="BY28" s="755">
        <v>2.58</v>
      </c>
      <c r="BZ28" s="756">
        <v>1.3631782945736399</v>
      </c>
      <c r="CA28" s="757">
        <v>1.3631782945736399</v>
      </c>
      <c r="CB28" s="755">
        <v>2.36</v>
      </c>
      <c r="CC28" s="756">
        <v>1.49025423728814</v>
      </c>
      <c r="CD28" s="757">
        <v>1.49025423728814</v>
      </c>
      <c r="CE28" s="755">
        <v>2.16</v>
      </c>
      <c r="CF28" s="756">
        <v>1.62824074074074</v>
      </c>
      <c r="CG28" s="757">
        <v>1.62824074074074</v>
      </c>
      <c r="CH28" s="755">
        <v>2.04</v>
      </c>
      <c r="CI28" s="756">
        <v>1.72401960784314</v>
      </c>
      <c r="CJ28" s="757">
        <v>1.72401960784314</v>
      </c>
      <c r="CK28" s="755">
        <v>1.79</v>
      </c>
      <c r="CL28" s="756">
        <v>1.9648044692737401</v>
      </c>
      <c r="CM28" s="757">
        <v>1.9648044692737401</v>
      </c>
      <c r="CN28" s="755">
        <v>2.56</v>
      </c>
      <c r="CO28" s="756">
        <v>1.373828125</v>
      </c>
      <c r="CP28" s="757">
        <v>1.373828125</v>
      </c>
      <c r="CQ28" s="755">
        <v>2.2400000000000002</v>
      </c>
      <c r="CR28" s="756">
        <v>1.5700892857142901</v>
      </c>
      <c r="CS28" s="757">
        <v>1.5700892857142901</v>
      </c>
      <c r="CT28" s="755">
        <v>2.21</v>
      </c>
      <c r="CU28" s="756">
        <v>1.5914027149321299</v>
      </c>
      <c r="CV28" s="757">
        <v>1.5914027149321299</v>
      </c>
      <c r="CW28" s="755">
        <v>2.2200000000000002</v>
      </c>
      <c r="CX28" s="756">
        <v>1.5842342342342299</v>
      </c>
      <c r="CY28" s="757">
        <v>1.5842342342342299</v>
      </c>
      <c r="CZ28" s="755">
        <v>1.89</v>
      </c>
      <c r="DA28" s="756">
        <v>1.8608465608465601</v>
      </c>
      <c r="DB28" s="757">
        <v>1.8608465608465601</v>
      </c>
      <c r="DC28" s="755">
        <v>1.89</v>
      </c>
      <c r="DD28" s="756">
        <v>1.8608465608465601</v>
      </c>
      <c r="DE28" s="757">
        <v>1.8608465608465601</v>
      </c>
    </row>
    <row r="29" spans="1:109" x14ac:dyDescent="0.25">
      <c r="A29" s="759">
        <v>2020</v>
      </c>
      <c r="B29" s="755">
        <f t="shared" si="595"/>
        <v>2.7</v>
      </c>
      <c r="C29" s="756">
        <f t="shared" si="547"/>
        <v>1.3025925925925925</v>
      </c>
      <c r="D29" s="757">
        <f t="shared" si="548"/>
        <v>1.3025925925925925</v>
      </c>
      <c r="E29" s="755">
        <f t="shared" si="596"/>
        <v>2.58</v>
      </c>
      <c r="F29" s="756">
        <f t="shared" si="549"/>
        <v>1.3631782945736433</v>
      </c>
      <c r="G29" s="757">
        <f t="shared" si="550"/>
        <v>1.3631782945736433</v>
      </c>
      <c r="H29" s="755">
        <f t="shared" si="596"/>
        <v>2.36</v>
      </c>
      <c r="I29" s="756">
        <f t="shared" si="551"/>
        <v>1.4902542372881356</v>
      </c>
      <c r="J29" s="757">
        <f t="shared" si="552"/>
        <v>1.4902542372881356</v>
      </c>
      <c r="K29" s="755">
        <f t="shared" si="596"/>
        <v>2.82</v>
      </c>
      <c r="L29" s="756">
        <f t="shared" si="553"/>
        <v>1.2471631205673759</v>
      </c>
      <c r="M29" s="757">
        <f t="shared" si="554"/>
        <v>1.2471631205673759</v>
      </c>
      <c r="N29" s="755">
        <f t="shared" si="596"/>
        <v>2.73</v>
      </c>
      <c r="O29" s="756">
        <f t="shared" si="555"/>
        <v>1.2882783882783881</v>
      </c>
      <c r="P29" s="757">
        <f t="shared" si="556"/>
        <v>1.2882783882783881</v>
      </c>
      <c r="Q29" s="755">
        <f t="shared" si="596"/>
        <v>2.67</v>
      </c>
      <c r="R29" s="756">
        <f t="shared" si="557"/>
        <v>1.3172284644194756</v>
      </c>
      <c r="S29" s="757">
        <f t="shared" si="558"/>
        <v>1.3172284644194756</v>
      </c>
      <c r="T29" s="755">
        <f t="shared" si="596"/>
        <v>2.75</v>
      </c>
      <c r="U29" s="756">
        <f t="shared" si="559"/>
        <v>1.2789090909090908</v>
      </c>
      <c r="V29" s="757">
        <f t="shared" si="560"/>
        <v>1.2789090909090908</v>
      </c>
      <c r="W29" s="755">
        <f t="shared" si="597"/>
        <v>2.66</v>
      </c>
      <c r="X29" s="756">
        <f t="shared" si="561"/>
        <v>1.3221804511278195</v>
      </c>
      <c r="Y29" s="757">
        <f t="shared" si="562"/>
        <v>1.3221804511278195</v>
      </c>
      <c r="Z29" s="755">
        <f t="shared" si="597"/>
        <v>2.6</v>
      </c>
      <c r="AA29" s="756">
        <f t="shared" si="563"/>
        <v>1.3526923076923076</v>
      </c>
      <c r="AB29" s="757">
        <f t="shared" si="564"/>
        <v>1.3526923076923076</v>
      </c>
      <c r="AC29" s="755">
        <f t="shared" si="597"/>
        <v>2.56</v>
      </c>
      <c r="AD29" s="756">
        <f t="shared" si="565"/>
        <v>1.373828125</v>
      </c>
      <c r="AE29" s="757">
        <f t="shared" si="566"/>
        <v>1.373828125</v>
      </c>
      <c r="AF29" s="755">
        <f t="shared" si="597"/>
        <v>2.2400000000000002</v>
      </c>
      <c r="AG29" s="756">
        <f t="shared" si="567"/>
        <v>1.5700892857142856</v>
      </c>
      <c r="AH29" s="757">
        <f t="shared" si="568"/>
        <v>1.5700892857142856</v>
      </c>
      <c r="AI29" s="755">
        <f t="shared" si="597"/>
        <v>2.21</v>
      </c>
      <c r="AJ29" s="756">
        <f t="shared" si="569"/>
        <v>1.5914027149321266</v>
      </c>
      <c r="AK29" s="757">
        <f t="shared" si="570"/>
        <v>1.5914027149321266</v>
      </c>
      <c r="AL29" s="755">
        <f t="shared" si="523"/>
        <v>2.16</v>
      </c>
      <c r="AM29" s="756">
        <f t="shared" si="571"/>
        <v>1.6282407407407407</v>
      </c>
      <c r="AN29" s="757">
        <f t="shared" si="572"/>
        <v>1.6282407407407407</v>
      </c>
      <c r="AO29" s="755">
        <f t="shared" si="525"/>
        <v>2.04</v>
      </c>
      <c r="AP29" s="756">
        <f t="shared" si="573"/>
        <v>1.7240196078431371</v>
      </c>
      <c r="AQ29" s="757">
        <f t="shared" si="574"/>
        <v>1.7240196078431371</v>
      </c>
      <c r="AR29" s="755">
        <f t="shared" si="527"/>
        <v>1.79</v>
      </c>
      <c r="AS29" s="756">
        <f t="shared" si="575"/>
        <v>1.964804469273743</v>
      </c>
      <c r="AT29" s="757">
        <f t="shared" si="576"/>
        <v>1.964804469273743</v>
      </c>
      <c r="AU29" s="755">
        <f t="shared" si="529"/>
        <v>2.4300000000000002</v>
      </c>
      <c r="AV29" s="756">
        <f t="shared" si="577"/>
        <v>1.4473251028806584</v>
      </c>
      <c r="AW29" s="757">
        <f t="shared" si="578"/>
        <v>1.4473251028806584</v>
      </c>
      <c r="AX29" s="755">
        <f t="shared" si="531"/>
        <v>2.3199999999999998</v>
      </c>
      <c r="AY29" s="756">
        <f t="shared" si="579"/>
        <v>1.515948275862069</v>
      </c>
      <c r="AZ29" s="757">
        <f t="shared" si="580"/>
        <v>1.515948275862069</v>
      </c>
      <c r="BA29" s="755">
        <f t="shared" si="533"/>
        <v>2.2000000000000002</v>
      </c>
      <c r="BB29" s="756">
        <f t="shared" si="581"/>
        <v>1.5986363636363634</v>
      </c>
      <c r="BC29" s="757">
        <f t="shared" si="582"/>
        <v>1.5986363636363634</v>
      </c>
      <c r="BD29" s="755">
        <f t="shared" si="535"/>
        <v>2.39</v>
      </c>
      <c r="BE29" s="756">
        <f t="shared" si="583"/>
        <v>1.4715481171548117</v>
      </c>
      <c r="BF29" s="757">
        <f t="shared" si="584"/>
        <v>1.4715481171548117</v>
      </c>
      <c r="BG29" s="755">
        <f t="shared" si="537"/>
        <v>2.2599999999999998</v>
      </c>
      <c r="BH29" s="756">
        <f t="shared" si="585"/>
        <v>1.5561946902654868</v>
      </c>
      <c r="BI29" s="757">
        <f t="shared" si="586"/>
        <v>1.5561946902654868</v>
      </c>
      <c r="BJ29" s="755">
        <f t="shared" si="539"/>
        <v>2.15</v>
      </c>
      <c r="BK29" s="756">
        <f t="shared" si="587"/>
        <v>1.6358139534883722</v>
      </c>
      <c r="BL29" s="757">
        <f t="shared" si="588"/>
        <v>1.6358139534883722</v>
      </c>
      <c r="BM29" s="755">
        <f t="shared" si="541"/>
        <v>2.2200000000000002</v>
      </c>
      <c r="BN29" s="756">
        <f t="shared" si="589"/>
        <v>1.5842342342342342</v>
      </c>
      <c r="BO29" s="757">
        <f t="shared" si="590"/>
        <v>1.5842342342342342</v>
      </c>
      <c r="BP29" s="755">
        <f t="shared" si="543"/>
        <v>1.89</v>
      </c>
      <c r="BQ29" s="756">
        <f t="shared" si="591"/>
        <v>1.860846560846561</v>
      </c>
      <c r="BR29" s="757">
        <f t="shared" si="592"/>
        <v>1.860846560846561</v>
      </c>
      <c r="BS29" s="755">
        <f t="shared" si="545"/>
        <v>1.85</v>
      </c>
      <c r="BT29" s="756">
        <f t="shared" si="593"/>
        <v>1.901081081081081</v>
      </c>
      <c r="BU29" s="757">
        <f t="shared" si="594"/>
        <v>1.901081081081081</v>
      </c>
      <c r="BV29" s="755">
        <v>2.7</v>
      </c>
      <c r="BW29" s="756">
        <v>1.3025925925925901</v>
      </c>
      <c r="BX29" s="757">
        <v>1.3025925925925901</v>
      </c>
      <c r="BY29" s="755">
        <v>2.58</v>
      </c>
      <c r="BZ29" s="756">
        <v>1.3631782945736399</v>
      </c>
      <c r="CA29" s="757">
        <v>1.3631782945736399</v>
      </c>
      <c r="CB29" s="755">
        <v>2.36</v>
      </c>
      <c r="CC29" s="756">
        <v>1.49025423728814</v>
      </c>
      <c r="CD29" s="757">
        <v>1.49025423728814</v>
      </c>
      <c r="CE29" s="755">
        <v>2.16</v>
      </c>
      <c r="CF29" s="756">
        <v>1.62824074074074</v>
      </c>
      <c r="CG29" s="757">
        <v>1.62824074074074</v>
      </c>
      <c r="CH29" s="755">
        <v>2.04</v>
      </c>
      <c r="CI29" s="756">
        <v>1.72401960784314</v>
      </c>
      <c r="CJ29" s="757">
        <v>1.72401960784314</v>
      </c>
      <c r="CK29" s="755">
        <v>1.79</v>
      </c>
      <c r="CL29" s="756">
        <v>1.9648044692737401</v>
      </c>
      <c r="CM29" s="757">
        <v>1.9648044692737401</v>
      </c>
      <c r="CN29" s="755">
        <v>2.56</v>
      </c>
      <c r="CO29" s="756">
        <v>1.373828125</v>
      </c>
      <c r="CP29" s="757">
        <v>1.373828125</v>
      </c>
      <c r="CQ29" s="755">
        <v>2.2400000000000002</v>
      </c>
      <c r="CR29" s="756">
        <v>1.5700892857142901</v>
      </c>
      <c r="CS29" s="757">
        <v>1.5700892857142901</v>
      </c>
      <c r="CT29" s="755">
        <v>2.21</v>
      </c>
      <c r="CU29" s="756">
        <v>1.5914027149321299</v>
      </c>
      <c r="CV29" s="757">
        <v>1.5914027149321299</v>
      </c>
      <c r="CW29" s="755">
        <v>2.2200000000000002</v>
      </c>
      <c r="CX29" s="756">
        <v>1.5842342342342299</v>
      </c>
      <c r="CY29" s="757">
        <v>1.5842342342342299</v>
      </c>
      <c r="CZ29" s="755">
        <v>1.89</v>
      </c>
      <c r="DA29" s="756">
        <v>1.8608465608465601</v>
      </c>
      <c r="DB29" s="757">
        <v>1.8608465608465601</v>
      </c>
      <c r="DC29" s="755">
        <v>1.89</v>
      </c>
      <c r="DD29" s="756">
        <v>1.8608465608465601</v>
      </c>
      <c r="DE29" s="757">
        <v>1.8608465608465601</v>
      </c>
    </row>
    <row r="30" spans="1:109" x14ac:dyDescent="0.25">
      <c r="A30" s="759">
        <v>2021</v>
      </c>
      <c r="B30" s="755">
        <f t="shared" si="595"/>
        <v>2.7</v>
      </c>
      <c r="C30" s="756">
        <f t="shared" si="547"/>
        <v>1.3025925925925925</v>
      </c>
      <c r="D30" s="757">
        <f t="shared" si="548"/>
        <v>1.3025925925925925</v>
      </c>
      <c r="E30" s="755">
        <f t="shared" si="596"/>
        <v>2.58</v>
      </c>
      <c r="F30" s="756">
        <f t="shared" si="549"/>
        <v>1.3631782945736433</v>
      </c>
      <c r="G30" s="757">
        <f t="shared" si="550"/>
        <v>1.3631782945736433</v>
      </c>
      <c r="H30" s="755">
        <f t="shared" si="596"/>
        <v>2.36</v>
      </c>
      <c r="I30" s="756">
        <f t="shared" si="551"/>
        <v>1.4902542372881356</v>
      </c>
      <c r="J30" s="757">
        <f t="shared" si="552"/>
        <v>1.4902542372881356</v>
      </c>
      <c r="K30" s="755">
        <f t="shared" si="596"/>
        <v>2.82</v>
      </c>
      <c r="L30" s="756">
        <f t="shared" si="553"/>
        <v>1.2471631205673759</v>
      </c>
      <c r="M30" s="757">
        <f t="shared" si="554"/>
        <v>1.2471631205673759</v>
      </c>
      <c r="N30" s="755">
        <f t="shared" si="596"/>
        <v>2.73</v>
      </c>
      <c r="O30" s="756">
        <f t="shared" si="555"/>
        <v>1.2882783882783881</v>
      </c>
      <c r="P30" s="757">
        <f t="shared" si="556"/>
        <v>1.2882783882783881</v>
      </c>
      <c r="Q30" s="755">
        <f t="shared" si="596"/>
        <v>2.67</v>
      </c>
      <c r="R30" s="756">
        <f t="shared" si="557"/>
        <v>1.3172284644194756</v>
      </c>
      <c r="S30" s="757">
        <f t="shared" si="558"/>
        <v>1.3172284644194756</v>
      </c>
      <c r="T30" s="755">
        <f t="shared" si="596"/>
        <v>2.75</v>
      </c>
      <c r="U30" s="756">
        <f t="shared" si="559"/>
        <v>1.2789090909090908</v>
      </c>
      <c r="V30" s="757">
        <f t="shared" si="560"/>
        <v>1.2789090909090908</v>
      </c>
      <c r="W30" s="755">
        <f t="shared" si="597"/>
        <v>2.66</v>
      </c>
      <c r="X30" s="756">
        <f t="shared" si="561"/>
        <v>1.3221804511278195</v>
      </c>
      <c r="Y30" s="757">
        <f t="shared" si="562"/>
        <v>1.3221804511278195</v>
      </c>
      <c r="Z30" s="755">
        <f t="shared" si="597"/>
        <v>2.6</v>
      </c>
      <c r="AA30" s="756">
        <f t="shared" si="563"/>
        <v>1.3526923076923076</v>
      </c>
      <c r="AB30" s="757">
        <f t="shared" si="564"/>
        <v>1.3526923076923076</v>
      </c>
      <c r="AC30" s="755">
        <f t="shared" si="597"/>
        <v>2.56</v>
      </c>
      <c r="AD30" s="756">
        <f t="shared" si="565"/>
        <v>1.373828125</v>
      </c>
      <c r="AE30" s="757">
        <f t="shared" si="566"/>
        <v>1.373828125</v>
      </c>
      <c r="AF30" s="755">
        <f t="shared" si="597"/>
        <v>2.2400000000000002</v>
      </c>
      <c r="AG30" s="756">
        <f t="shared" si="567"/>
        <v>1.5700892857142856</v>
      </c>
      <c r="AH30" s="757">
        <f t="shared" si="568"/>
        <v>1.5700892857142856</v>
      </c>
      <c r="AI30" s="755">
        <f t="shared" si="597"/>
        <v>2.21</v>
      </c>
      <c r="AJ30" s="756">
        <f t="shared" si="569"/>
        <v>1.5914027149321266</v>
      </c>
      <c r="AK30" s="757">
        <f t="shared" si="570"/>
        <v>1.5914027149321266</v>
      </c>
      <c r="AL30" s="755">
        <f t="shared" si="523"/>
        <v>2.16</v>
      </c>
      <c r="AM30" s="756">
        <f t="shared" si="571"/>
        <v>1.6282407407407407</v>
      </c>
      <c r="AN30" s="757">
        <f t="shared" si="572"/>
        <v>1.6282407407407407</v>
      </c>
      <c r="AO30" s="755">
        <f t="shared" si="525"/>
        <v>2.04</v>
      </c>
      <c r="AP30" s="756">
        <f t="shared" si="573"/>
        <v>1.7240196078431371</v>
      </c>
      <c r="AQ30" s="757">
        <f t="shared" si="574"/>
        <v>1.7240196078431371</v>
      </c>
      <c r="AR30" s="755">
        <f t="shared" si="527"/>
        <v>1.79</v>
      </c>
      <c r="AS30" s="756">
        <f t="shared" si="575"/>
        <v>1.964804469273743</v>
      </c>
      <c r="AT30" s="757">
        <f t="shared" si="576"/>
        <v>1.964804469273743</v>
      </c>
      <c r="AU30" s="755">
        <f t="shared" si="529"/>
        <v>2.4300000000000002</v>
      </c>
      <c r="AV30" s="756">
        <f t="shared" si="577"/>
        <v>1.4473251028806584</v>
      </c>
      <c r="AW30" s="757">
        <f t="shared" si="578"/>
        <v>1.4473251028806584</v>
      </c>
      <c r="AX30" s="755">
        <f t="shared" si="531"/>
        <v>2.3199999999999998</v>
      </c>
      <c r="AY30" s="756">
        <f t="shared" si="579"/>
        <v>1.515948275862069</v>
      </c>
      <c r="AZ30" s="757">
        <f t="shared" si="580"/>
        <v>1.515948275862069</v>
      </c>
      <c r="BA30" s="755">
        <f t="shared" si="533"/>
        <v>2.2000000000000002</v>
      </c>
      <c r="BB30" s="756">
        <f t="shared" si="581"/>
        <v>1.5986363636363634</v>
      </c>
      <c r="BC30" s="757">
        <f t="shared" si="582"/>
        <v>1.5986363636363634</v>
      </c>
      <c r="BD30" s="755">
        <f t="shared" si="535"/>
        <v>2.39</v>
      </c>
      <c r="BE30" s="756">
        <f t="shared" si="583"/>
        <v>1.4715481171548117</v>
      </c>
      <c r="BF30" s="757">
        <f t="shared" si="584"/>
        <v>1.4715481171548117</v>
      </c>
      <c r="BG30" s="755">
        <f t="shared" si="537"/>
        <v>2.2599999999999998</v>
      </c>
      <c r="BH30" s="756">
        <f t="shared" si="585"/>
        <v>1.5561946902654868</v>
      </c>
      <c r="BI30" s="757">
        <f t="shared" si="586"/>
        <v>1.5561946902654868</v>
      </c>
      <c r="BJ30" s="755">
        <f t="shared" si="539"/>
        <v>2.15</v>
      </c>
      <c r="BK30" s="756">
        <f t="shared" si="587"/>
        <v>1.6358139534883722</v>
      </c>
      <c r="BL30" s="757">
        <f t="shared" si="588"/>
        <v>1.6358139534883722</v>
      </c>
      <c r="BM30" s="755">
        <f t="shared" si="541"/>
        <v>2.2200000000000002</v>
      </c>
      <c r="BN30" s="756">
        <f t="shared" si="589"/>
        <v>1.5842342342342342</v>
      </c>
      <c r="BO30" s="757">
        <f t="shared" si="590"/>
        <v>1.5842342342342342</v>
      </c>
      <c r="BP30" s="755">
        <f t="shared" si="543"/>
        <v>1.89</v>
      </c>
      <c r="BQ30" s="756">
        <f t="shared" si="591"/>
        <v>1.860846560846561</v>
      </c>
      <c r="BR30" s="757">
        <f t="shared" si="592"/>
        <v>1.860846560846561</v>
      </c>
      <c r="BS30" s="755">
        <f t="shared" si="545"/>
        <v>1.85</v>
      </c>
      <c r="BT30" s="756">
        <f t="shared" si="593"/>
        <v>1.901081081081081</v>
      </c>
      <c r="BU30" s="757">
        <f t="shared" si="594"/>
        <v>1.901081081081081</v>
      </c>
      <c r="BV30" s="755">
        <v>2.7</v>
      </c>
      <c r="BW30" s="756">
        <v>1.3025925925925901</v>
      </c>
      <c r="BX30" s="757">
        <v>1.3025925925925901</v>
      </c>
      <c r="BY30" s="755">
        <v>2.58</v>
      </c>
      <c r="BZ30" s="756">
        <v>1.3631782945736399</v>
      </c>
      <c r="CA30" s="757">
        <v>1.3631782945736399</v>
      </c>
      <c r="CB30" s="755">
        <v>2.36</v>
      </c>
      <c r="CC30" s="756">
        <v>1.49025423728814</v>
      </c>
      <c r="CD30" s="757">
        <v>1.49025423728814</v>
      </c>
      <c r="CE30" s="755">
        <v>2.16</v>
      </c>
      <c r="CF30" s="756">
        <v>1.62824074074074</v>
      </c>
      <c r="CG30" s="757">
        <v>1.62824074074074</v>
      </c>
      <c r="CH30" s="755">
        <v>2.04</v>
      </c>
      <c r="CI30" s="756">
        <v>1.72401960784314</v>
      </c>
      <c r="CJ30" s="757">
        <v>1.72401960784314</v>
      </c>
      <c r="CK30" s="755">
        <v>1.79</v>
      </c>
      <c r="CL30" s="756">
        <v>1.9648044692737401</v>
      </c>
      <c r="CM30" s="757">
        <v>1.9648044692737401</v>
      </c>
      <c r="CN30" s="755">
        <v>2.56</v>
      </c>
      <c r="CO30" s="756">
        <v>1.373828125</v>
      </c>
      <c r="CP30" s="757">
        <v>1.373828125</v>
      </c>
      <c r="CQ30" s="755">
        <v>2.2400000000000002</v>
      </c>
      <c r="CR30" s="756">
        <v>1.5700892857142901</v>
      </c>
      <c r="CS30" s="757">
        <v>1.5700892857142901</v>
      </c>
      <c r="CT30" s="755">
        <v>2.21</v>
      </c>
      <c r="CU30" s="756">
        <v>1.5914027149321299</v>
      </c>
      <c r="CV30" s="757">
        <v>1.5914027149321299</v>
      </c>
      <c r="CW30" s="755">
        <v>2.2200000000000002</v>
      </c>
      <c r="CX30" s="756">
        <v>1.5842342342342299</v>
      </c>
      <c r="CY30" s="757">
        <v>1.5842342342342299</v>
      </c>
      <c r="CZ30" s="755">
        <v>1.89</v>
      </c>
      <c r="DA30" s="756">
        <v>1.8608465608465601</v>
      </c>
      <c r="DB30" s="757">
        <v>1.8608465608465601</v>
      </c>
      <c r="DC30" s="755">
        <v>1.89</v>
      </c>
      <c r="DD30" s="756">
        <v>1.8608465608465601</v>
      </c>
      <c r="DE30" s="757">
        <v>1.8608465608465601</v>
      </c>
    </row>
    <row r="31" spans="1:109" x14ac:dyDescent="0.25">
      <c r="A31" s="759">
        <v>2022</v>
      </c>
      <c r="B31" s="755">
        <f t="shared" si="595"/>
        <v>2.7</v>
      </c>
      <c r="C31" s="756">
        <f t="shared" si="547"/>
        <v>1.3025925925925925</v>
      </c>
      <c r="D31" s="757">
        <f t="shared" si="548"/>
        <v>1.3025925925925925</v>
      </c>
      <c r="E31" s="755">
        <f t="shared" si="596"/>
        <v>2.58</v>
      </c>
      <c r="F31" s="756">
        <f t="shared" si="549"/>
        <v>1.3631782945736433</v>
      </c>
      <c r="G31" s="757">
        <f t="shared" si="550"/>
        <v>1.3631782945736433</v>
      </c>
      <c r="H31" s="755">
        <f t="shared" si="596"/>
        <v>2.36</v>
      </c>
      <c r="I31" s="756">
        <f t="shared" si="551"/>
        <v>1.4902542372881356</v>
      </c>
      <c r="J31" s="757">
        <f t="shared" si="552"/>
        <v>1.4902542372881356</v>
      </c>
      <c r="K31" s="755">
        <f t="shared" si="596"/>
        <v>2.82</v>
      </c>
      <c r="L31" s="756">
        <f t="shared" si="553"/>
        <v>1.2471631205673759</v>
      </c>
      <c r="M31" s="757">
        <f t="shared" si="554"/>
        <v>1.2471631205673759</v>
      </c>
      <c r="N31" s="755">
        <f t="shared" si="596"/>
        <v>2.73</v>
      </c>
      <c r="O31" s="756">
        <f t="shared" si="555"/>
        <v>1.2882783882783881</v>
      </c>
      <c r="P31" s="757">
        <f t="shared" si="556"/>
        <v>1.2882783882783881</v>
      </c>
      <c r="Q31" s="755">
        <f t="shared" si="596"/>
        <v>2.67</v>
      </c>
      <c r="R31" s="756">
        <f t="shared" si="557"/>
        <v>1.3172284644194756</v>
      </c>
      <c r="S31" s="757">
        <f t="shared" si="558"/>
        <v>1.3172284644194756</v>
      </c>
      <c r="T31" s="755">
        <f t="shared" si="596"/>
        <v>2.75</v>
      </c>
      <c r="U31" s="756">
        <f t="shared" si="559"/>
        <v>1.2789090909090908</v>
      </c>
      <c r="V31" s="757">
        <f t="shared" si="560"/>
        <v>1.2789090909090908</v>
      </c>
      <c r="W31" s="755">
        <f t="shared" si="597"/>
        <v>2.66</v>
      </c>
      <c r="X31" s="756">
        <f t="shared" si="561"/>
        <v>1.3221804511278195</v>
      </c>
      <c r="Y31" s="757">
        <f t="shared" si="562"/>
        <v>1.3221804511278195</v>
      </c>
      <c r="Z31" s="755">
        <f t="shared" si="597"/>
        <v>2.6</v>
      </c>
      <c r="AA31" s="756">
        <f t="shared" si="563"/>
        <v>1.3526923076923076</v>
      </c>
      <c r="AB31" s="757">
        <f t="shared" si="564"/>
        <v>1.3526923076923076</v>
      </c>
      <c r="AC31" s="755">
        <f t="shared" si="597"/>
        <v>2.56</v>
      </c>
      <c r="AD31" s="756">
        <f t="shared" si="565"/>
        <v>1.373828125</v>
      </c>
      <c r="AE31" s="757">
        <f t="shared" si="566"/>
        <v>1.373828125</v>
      </c>
      <c r="AF31" s="755">
        <f t="shared" si="597"/>
        <v>2.2400000000000002</v>
      </c>
      <c r="AG31" s="756">
        <f t="shared" si="567"/>
        <v>1.5700892857142856</v>
      </c>
      <c r="AH31" s="757">
        <f t="shared" si="568"/>
        <v>1.5700892857142856</v>
      </c>
      <c r="AI31" s="755">
        <f t="shared" si="597"/>
        <v>2.21</v>
      </c>
      <c r="AJ31" s="756">
        <f t="shared" si="569"/>
        <v>1.5914027149321266</v>
      </c>
      <c r="AK31" s="757">
        <f t="shared" si="570"/>
        <v>1.5914027149321266</v>
      </c>
      <c r="AL31" s="755">
        <f t="shared" si="523"/>
        <v>2.16</v>
      </c>
      <c r="AM31" s="756">
        <f t="shared" si="571"/>
        <v>1.6282407407407407</v>
      </c>
      <c r="AN31" s="757">
        <f t="shared" si="572"/>
        <v>1.6282407407407407</v>
      </c>
      <c r="AO31" s="755">
        <f t="shared" si="525"/>
        <v>2.04</v>
      </c>
      <c r="AP31" s="756">
        <f t="shared" si="573"/>
        <v>1.7240196078431371</v>
      </c>
      <c r="AQ31" s="757">
        <f t="shared" si="574"/>
        <v>1.7240196078431371</v>
      </c>
      <c r="AR31" s="755">
        <f t="shared" si="527"/>
        <v>1.79</v>
      </c>
      <c r="AS31" s="756">
        <f t="shared" si="575"/>
        <v>1.964804469273743</v>
      </c>
      <c r="AT31" s="757">
        <f t="shared" si="576"/>
        <v>1.964804469273743</v>
      </c>
      <c r="AU31" s="755">
        <f t="shared" si="529"/>
        <v>2.4300000000000002</v>
      </c>
      <c r="AV31" s="756">
        <f t="shared" si="577"/>
        <v>1.4473251028806584</v>
      </c>
      <c r="AW31" s="757">
        <f t="shared" si="578"/>
        <v>1.4473251028806584</v>
      </c>
      <c r="AX31" s="755">
        <f t="shared" si="531"/>
        <v>2.3199999999999998</v>
      </c>
      <c r="AY31" s="756">
        <f t="shared" si="579"/>
        <v>1.515948275862069</v>
      </c>
      <c r="AZ31" s="757">
        <f t="shared" si="580"/>
        <v>1.515948275862069</v>
      </c>
      <c r="BA31" s="755">
        <f t="shared" si="533"/>
        <v>2.2000000000000002</v>
      </c>
      <c r="BB31" s="756">
        <f t="shared" si="581"/>
        <v>1.5986363636363634</v>
      </c>
      <c r="BC31" s="757">
        <f t="shared" si="582"/>
        <v>1.5986363636363634</v>
      </c>
      <c r="BD31" s="755">
        <f t="shared" si="535"/>
        <v>2.39</v>
      </c>
      <c r="BE31" s="756">
        <f t="shared" si="583"/>
        <v>1.4715481171548117</v>
      </c>
      <c r="BF31" s="757">
        <f t="shared" si="584"/>
        <v>1.4715481171548117</v>
      </c>
      <c r="BG31" s="755">
        <f t="shared" si="537"/>
        <v>2.2599999999999998</v>
      </c>
      <c r="BH31" s="756">
        <f t="shared" si="585"/>
        <v>1.5561946902654868</v>
      </c>
      <c r="BI31" s="757">
        <f t="shared" si="586"/>
        <v>1.5561946902654868</v>
      </c>
      <c r="BJ31" s="755">
        <f t="shared" si="539"/>
        <v>2.15</v>
      </c>
      <c r="BK31" s="756">
        <f t="shared" si="587"/>
        <v>1.6358139534883722</v>
      </c>
      <c r="BL31" s="757">
        <f t="shared" si="588"/>
        <v>1.6358139534883722</v>
      </c>
      <c r="BM31" s="755">
        <f t="shared" si="541"/>
        <v>2.2200000000000002</v>
      </c>
      <c r="BN31" s="756">
        <f t="shared" si="589"/>
        <v>1.5842342342342342</v>
      </c>
      <c r="BO31" s="757">
        <f t="shared" si="590"/>
        <v>1.5842342342342342</v>
      </c>
      <c r="BP31" s="755">
        <f t="shared" si="543"/>
        <v>1.89</v>
      </c>
      <c r="BQ31" s="756">
        <f t="shared" si="591"/>
        <v>1.860846560846561</v>
      </c>
      <c r="BR31" s="757">
        <f t="shared" si="592"/>
        <v>1.860846560846561</v>
      </c>
      <c r="BS31" s="755">
        <f t="shared" si="545"/>
        <v>1.85</v>
      </c>
      <c r="BT31" s="756">
        <f t="shared" si="593"/>
        <v>1.901081081081081</v>
      </c>
      <c r="BU31" s="757">
        <f t="shared" si="594"/>
        <v>1.901081081081081</v>
      </c>
      <c r="BV31" s="755">
        <v>2.7</v>
      </c>
      <c r="BW31" s="756">
        <v>1.3025925925925901</v>
      </c>
      <c r="BX31" s="757">
        <v>1.3025925925925901</v>
      </c>
      <c r="BY31" s="755">
        <v>2.58</v>
      </c>
      <c r="BZ31" s="756">
        <v>1.3631782945736399</v>
      </c>
      <c r="CA31" s="757">
        <v>1.3631782945736399</v>
      </c>
      <c r="CB31" s="755">
        <v>2.36</v>
      </c>
      <c r="CC31" s="756">
        <v>1.49025423728814</v>
      </c>
      <c r="CD31" s="757">
        <v>1.49025423728814</v>
      </c>
      <c r="CE31" s="755">
        <v>2.16</v>
      </c>
      <c r="CF31" s="756">
        <v>1.62824074074074</v>
      </c>
      <c r="CG31" s="757">
        <v>1.62824074074074</v>
      </c>
      <c r="CH31" s="755">
        <v>2.04</v>
      </c>
      <c r="CI31" s="756">
        <v>1.72401960784314</v>
      </c>
      <c r="CJ31" s="757">
        <v>1.72401960784314</v>
      </c>
      <c r="CK31" s="755">
        <v>1.79</v>
      </c>
      <c r="CL31" s="756">
        <v>1.9648044692737401</v>
      </c>
      <c r="CM31" s="757">
        <v>1.9648044692737401</v>
      </c>
      <c r="CN31" s="755">
        <v>2.56</v>
      </c>
      <c r="CO31" s="756">
        <v>1.373828125</v>
      </c>
      <c r="CP31" s="757">
        <v>1.373828125</v>
      </c>
      <c r="CQ31" s="755">
        <v>2.2400000000000002</v>
      </c>
      <c r="CR31" s="756">
        <v>1.5700892857142901</v>
      </c>
      <c r="CS31" s="757">
        <v>1.5700892857142901</v>
      </c>
      <c r="CT31" s="755">
        <v>2.21</v>
      </c>
      <c r="CU31" s="756">
        <v>1.5914027149321299</v>
      </c>
      <c r="CV31" s="757">
        <v>1.5914027149321299</v>
      </c>
      <c r="CW31" s="755">
        <v>2.2200000000000002</v>
      </c>
      <c r="CX31" s="756">
        <v>1.5842342342342299</v>
      </c>
      <c r="CY31" s="757">
        <v>1.5842342342342299</v>
      </c>
      <c r="CZ31" s="755">
        <v>1.89</v>
      </c>
      <c r="DA31" s="756">
        <v>1.8608465608465601</v>
      </c>
      <c r="DB31" s="757">
        <v>1.8608465608465601</v>
      </c>
      <c r="DC31" s="755">
        <v>1.89</v>
      </c>
      <c r="DD31" s="756">
        <v>1.8608465608465601</v>
      </c>
      <c r="DE31" s="757">
        <v>1.8608465608465601</v>
      </c>
    </row>
    <row r="32" spans="1:109" x14ac:dyDescent="0.25">
      <c r="A32" s="759">
        <v>2023</v>
      </c>
      <c r="B32" s="755">
        <f t="shared" si="595"/>
        <v>2.7</v>
      </c>
      <c r="C32" s="756">
        <f t="shared" ref="C32:C34" si="598">3.517/B32</f>
        <v>1.3025925925925925</v>
      </c>
      <c r="D32" s="757">
        <f t="shared" ref="D32:D34" si="599">C32</f>
        <v>1.3025925925925925</v>
      </c>
      <c r="E32" s="755">
        <f t="shared" si="596"/>
        <v>2.58</v>
      </c>
      <c r="F32" s="756">
        <f t="shared" ref="F32:F34" si="600">3.517/E32</f>
        <v>1.3631782945736433</v>
      </c>
      <c r="G32" s="757">
        <f t="shared" ref="G32:G34" si="601">F32</f>
        <v>1.3631782945736433</v>
      </c>
      <c r="H32" s="755">
        <f t="shared" si="596"/>
        <v>2.36</v>
      </c>
      <c r="I32" s="756">
        <f t="shared" ref="I32:I34" si="602">3.517/H32</f>
        <v>1.4902542372881356</v>
      </c>
      <c r="J32" s="757">
        <f t="shared" ref="J32:J34" si="603">I32</f>
        <v>1.4902542372881356</v>
      </c>
      <c r="K32" s="755">
        <f t="shared" si="596"/>
        <v>2.82</v>
      </c>
      <c r="L32" s="756">
        <f t="shared" ref="L32:L34" si="604">3.517/K32</f>
        <v>1.2471631205673759</v>
      </c>
      <c r="M32" s="757">
        <f t="shared" ref="M32:M34" si="605">L32</f>
        <v>1.2471631205673759</v>
      </c>
      <c r="N32" s="755">
        <f t="shared" si="596"/>
        <v>2.73</v>
      </c>
      <c r="O32" s="756">
        <f t="shared" ref="O32:O34" si="606">3.517/N32</f>
        <v>1.2882783882783881</v>
      </c>
      <c r="P32" s="757">
        <f t="shared" ref="P32:P34" si="607">O32</f>
        <v>1.2882783882783881</v>
      </c>
      <c r="Q32" s="755">
        <f t="shared" si="596"/>
        <v>2.67</v>
      </c>
      <c r="R32" s="756">
        <f t="shared" ref="R32:R34" si="608">3.517/Q32</f>
        <v>1.3172284644194756</v>
      </c>
      <c r="S32" s="757">
        <f t="shared" ref="S32:S34" si="609">R32</f>
        <v>1.3172284644194756</v>
      </c>
      <c r="T32" s="755">
        <f t="shared" si="596"/>
        <v>2.75</v>
      </c>
      <c r="U32" s="756">
        <f t="shared" ref="U32:U34" si="610">3.517/T32</f>
        <v>1.2789090909090908</v>
      </c>
      <c r="V32" s="757">
        <f t="shared" ref="V32:V34" si="611">U32</f>
        <v>1.2789090909090908</v>
      </c>
      <c r="W32" s="755">
        <f t="shared" si="597"/>
        <v>2.66</v>
      </c>
      <c r="X32" s="756">
        <f t="shared" ref="X32:X34" si="612">3.517/W32</f>
        <v>1.3221804511278195</v>
      </c>
      <c r="Y32" s="757">
        <f t="shared" ref="Y32:Y34" si="613">X32</f>
        <v>1.3221804511278195</v>
      </c>
      <c r="Z32" s="755">
        <f t="shared" si="597"/>
        <v>2.6</v>
      </c>
      <c r="AA32" s="756">
        <f t="shared" ref="AA32:AA34" si="614">3.517/Z32</f>
        <v>1.3526923076923076</v>
      </c>
      <c r="AB32" s="757">
        <f t="shared" ref="AB32:AB34" si="615">AA32</f>
        <v>1.3526923076923076</v>
      </c>
      <c r="AC32" s="755">
        <f t="shared" si="597"/>
        <v>2.56</v>
      </c>
      <c r="AD32" s="756">
        <f t="shared" ref="AD32:AD34" si="616">3.517/AC32</f>
        <v>1.373828125</v>
      </c>
      <c r="AE32" s="757">
        <f t="shared" ref="AE32:AE34" si="617">AD32</f>
        <v>1.373828125</v>
      </c>
      <c r="AF32" s="755">
        <f t="shared" si="597"/>
        <v>2.2400000000000002</v>
      </c>
      <c r="AG32" s="756">
        <f t="shared" ref="AG32:AG34" si="618">3.517/AF32</f>
        <v>1.5700892857142856</v>
      </c>
      <c r="AH32" s="757">
        <f t="shared" ref="AH32:AH34" si="619">AG32</f>
        <v>1.5700892857142856</v>
      </c>
      <c r="AI32" s="755">
        <f t="shared" si="597"/>
        <v>2.21</v>
      </c>
      <c r="AJ32" s="756">
        <f t="shared" ref="AJ32:AJ34" si="620">3.517/AI32</f>
        <v>1.5914027149321266</v>
      </c>
      <c r="AK32" s="757">
        <f t="shared" ref="AK32:AK34" si="621">AJ32</f>
        <v>1.5914027149321266</v>
      </c>
      <c r="AL32" s="755">
        <f t="shared" si="523"/>
        <v>2.16</v>
      </c>
      <c r="AM32" s="756">
        <f t="shared" ref="AM32:AM34" si="622">3.517/AL32</f>
        <v>1.6282407407407407</v>
      </c>
      <c r="AN32" s="757">
        <f t="shared" ref="AN32:AN34" si="623">AM32</f>
        <v>1.6282407407407407</v>
      </c>
      <c r="AO32" s="755">
        <f t="shared" si="525"/>
        <v>2.04</v>
      </c>
      <c r="AP32" s="756">
        <f t="shared" ref="AP32:AP34" si="624">3.517/AO32</f>
        <v>1.7240196078431371</v>
      </c>
      <c r="AQ32" s="757">
        <f t="shared" ref="AQ32:AQ34" si="625">AP32</f>
        <v>1.7240196078431371</v>
      </c>
      <c r="AR32" s="755">
        <f t="shared" si="527"/>
        <v>1.79</v>
      </c>
      <c r="AS32" s="756">
        <f t="shared" ref="AS32:AS34" si="626">3.517/AR32</f>
        <v>1.964804469273743</v>
      </c>
      <c r="AT32" s="757">
        <f t="shared" ref="AT32:AT34" si="627">AS32</f>
        <v>1.964804469273743</v>
      </c>
      <c r="AU32" s="755">
        <f t="shared" si="529"/>
        <v>2.4300000000000002</v>
      </c>
      <c r="AV32" s="756">
        <f t="shared" ref="AV32:AV34" si="628">3.517/AU32</f>
        <v>1.4473251028806584</v>
      </c>
      <c r="AW32" s="757">
        <f t="shared" ref="AW32:AW34" si="629">AV32</f>
        <v>1.4473251028806584</v>
      </c>
      <c r="AX32" s="755">
        <f t="shared" si="531"/>
        <v>2.3199999999999998</v>
      </c>
      <c r="AY32" s="756">
        <f t="shared" ref="AY32:AY34" si="630">3.517/AX32</f>
        <v>1.515948275862069</v>
      </c>
      <c r="AZ32" s="757">
        <f t="shared" ref="AZ32:AZ34" si="631">AY32</f>
        <v>1.515948275862069</v>
      </c>
      <c r="BA32" s="755">
        <f t="shared" si="533"/>
        <v>2.2000000000000002</v>
      </c>
      <c r="BB32" s="756">
        <f t="shared" ref="BB32:BB34" si="632">3.517/BA32</f>
        <v>1.5986363636363634</v>
      </c>
      <c r="BC32" s="757">
        <f t="shared" ref="BC32:BC34" si="633">BB32</f>
        <v>1.5986363636363634</v>
      </c>
      <c r="BD32" s="755">
        <f t="shared" si="535"/>
        <v>2.39</v>
      </c>
      <c r="BE32" s="756">
        <f t="shared" ref="BE32:BE34" si="634">3.517/BD32</f>
        <v>1.4715481171548117</v>
      </c>
      <c r="BF32" s="757">
        <f t="shared" ref="BF32:BF34" si="635">BE32</f>
        <v>1.4715481171548117</v>
      </c>
      <c r="BG32" s="755">
        <f t="shared" si="537"/>
        <v>2.2599999999999998</v>
      </c>
      <c r="BH32" s="756">
        <f t="shared" ref="BH32:BH34" si="636">3.517/BG32</f>
        <v>1.5561946902654868</v>
      </c>
      <c r="BI32" s="757">
        <f t="shared" ref="BI32:BI34" si="637">BH32</f>
        <v>1.5561946902654868</v>
      </c>
      <c r="BJ32" s="755">
        <f t="shared" si="539"/>
        <v>2.15</v>
      </c>
      <c r="BK32" s="756">
        <f t="shared" ref="BK32:BK34" si="638">3.517/BJ32</f>
        <v>1.6358139534883722</v>
      </c>
      <c r="BL32" s="757">
        <f t="shared" ref="BL32:BL34" si="639">BK32</f>
        <v>1.6358139534883722</v>
      </c>
      <c r="BM32" s="755">
        <f t="shared" si="541"/>
        <v>2.2200000000000002</v>
      </c>
      <c r="BN32" s="756">
        <f t="shared" ref="BN32:BN34" si="640">3.517/BM32</f>
        <v>1.5842342342342342</v>
      </c>
      <c r="BO32" s="757">
        <f t="shared" ref="BO32:BO34" si="641">BN32</f>
        <v>1.5842342342342342</v>
      </c>
      <c r="BP32" s="755">
        <f t="shared" si="543"/>
        <v>1.89</v>
      </c>
      <c r="BQ32" s="756">
        <f t="shared" ref="BQ32:BQ34" si="642">3.517/BP32</f>
        <v>1.860846560846561</v>
      </c>
      <c r="BR32" s="757">
        <f t="shared" ref="BR32:BR34" si="643">BQ32</f>
        <v>1.860846560846561</v>
      </c>
      <c r="BS32" s="755">
        <f t="shared" si="545"/>
        <v>1.85</v>
      </c>
      <c r="BT32" s="756">
        <f t="shared" ref="BT32:BT34" si="644">3.517/BS32</f>
        <v>1.901081081081081</v>
      </c>
      <c r="BU32" s="757">
        <f t="shared" ref="BU32:BU34" si="645">BT32</f>
        <v>1.901081081081081</v>
      </c>
      <c r="BV32" s="755">
        <v>2.7</v>
      </c>
      <c r="BW32" s="756">
        <v>1.3025925925925901</v>
      </c>
      <c r="BX32" s="757">
        <v>1.3025925925925901</v>
      </c>
      <c r="BY32" s="755">
        <v>2.58</v>
      </c>
      <c r="BZ32" s="756">
        <v>1.3631782945736399</v>
      </c>
      <c r="CA32" s="757">
        <v>1.3631782945736399</v>
      </c>
      <c r="CB32" s="755">
        <v>2.36</v>
      </c>
      <c r="CC32" s="756">
        <v>1.49025423728814</v>
      </c>
      <c r="CD32" s="757">
        <v>1.49025423728814</v>
      </c>
      <c r="CE32" s="755">
        <v>2.16</v>
      </c>
      <c r="CF32" s="756">
        <v>1.62824074074074</v>
      </c>
      <c r="CG32" s="757">
        <v>1.62824074074074</v>
      </c>
      <c r="CH32" s="755">
        <v>2.04</v>
      </c>
      <c r="CI32" s="756">
        <v>1.72401960784314</v>
      </c>
      <c r="CJ32" s="757">
        <v>1.72401960784314</v>
      </c>
      <c r="CK32" s="755">
        <v>1.79</v>
      </c>
      <c r="CL32" s="756">
        <v>1.9648044692737401</v>
      </c>
      <c r="CM32" s="757">
        <v>1.9648044692737401</v>
      </c>
      <c r="CN32" s="755">
        <v>2.56</v>
      </c>
      <c r="CO32" s="756">
        <v>1.373828125</v>
      </c>
      <c r="CP32" s="757">
        <v>1.373828125</v>
      </c>
      <c r="CQ32" s="755">
        <v>2.2400000000000002</v>
      </c>
      <c r="CR32" s="756">
        <v>1.5700892857142901</v>
      </c>
      <c r="CS32" s="757">
        <v>1.5700892857142901</v>
      </c>
      <c r="CT32" s="755">
        <v>2.21</v>
      </c>
      <c r="CU32" s="756">
        <v>1.5914027149321299</v>
      </c>
      <c r="CV32" s="757">
        <v>1.5914027149321299</v>
      </c>
      <c r="CW32" s="755">
        <v>2.2200000000000002</v>
      </c>
      <c r="CX32" s="756">
        <v>1.5842342342342299</v>
      </c>
      <c r="CY32" s="757">
        <v>1.5842342342342299</v>
      </c>
      <c r="CZ32" s="755">
        <v>1.89</v>
      </c>
      <c r="DA32" s="756">
        <v>1.8608465608465601</v>
      </c>
      <c r="DB32" s="757">
        <v>1.8608465608465601</v>
      </c>
      <c r="DC32" s="755">
        <v>1.89</v>
      </c>
      <c r="DD32" s="756">
        <v>1.8608465608465601</v>
      </c>
      <c r="DE32" s="757">
        <v>1.8608465608465601</v>
      </c>
    </row>
    <row r="33" spans="1:109" x14ac:dyDescent="0.25">
      <c r="A33" s="759">
        <v>2024</v>
      </c>
      <c r="B33" s="755">
        <f t="shared" si="595"/>
        <v>2.7</v>
      </c>
      <c r="C33" s="756">
        <f t="shared" si="598"/>
        <v>1.3025925925925925</v>
      </c>
      <c r="D33" s="757">
        <f t="shared" si="599"/>
        <v>1.3025925925925925</v>
      </c>
      <c r="E33" s="755">
        <f t="shared" si="596"/>
        <v>2.58</v>
      </c>
      <c r="F33" s="756">
        <f t="shared" si="600"/>
        <v>1.3631782945736433</v>
      </c>
      <c r="G33" s="757">
        <f t="shared" si="601"/>
        <v>1.3631782945736433</v>
      </c>
      <c r="H33" s="755">
        <f t="shared" si="596"/>
        <v>2.36</v>
      </c>
      <c r="I33" s="756">
        <f t="shared" si="602"/>
        <v>1.4902542372881356</v>
      </c>
      <c r="J33" s="757">
        <f t="shared" si="603"/>
        <v>1.4902542372881356</v>
      </c>
      <c r="K33" s="755">
        <f t="shared" si="596"/>
        <v>2.82</v>
      </c>
      <c r="L33" s="756">
        <f t="shared" si="604"/>
        <v>1.2471631205673759</v>
      </c>
      <c r="M33" s="757">
        <f t="shared" si="605"/>
        <v>1.2471631205673759</v>
      </c>
      <c r="N33" s="755">
        <f t="shared" si="596"/>
        <v>2.73</v>
      </c>
      <c r="O33" s="756">
        <f t="shared" si="606"/>
        <v>1.2882783882783881</v>
      </c>
      <c r="P33" s="757">
        <f t="shared" si="607"/>
        <v>1.2882783882783881</v>
      </c>
      <c r="Q33" s="755">
        <f t="shared" si="596"/>
        <v>2.67</v>
      </c>
      <c r="R33" s="756">
        <f t="shared" si="608"/>
        <v>1.3172284644194756</v>
      </c>
      <c r="S33" s="757">
        <f t="shared" si="609"/>
        <v>1.3172284644194756</v>
      </c>
      <c r="T33" s="755">
        <f t="shared" si="596"/>
        <v>2.75</v>
      </c>
      <c r="U33" s="756">
        <f t="shared" si="610"/>
        <v>1.2789090909090908</v>
      </c>
      <c r="V33" s="757">
        <f t="shared" si="611"/>
        <v>1.2789090909090908</v>
      </c>
      <c r="W33" s="755">
        <f t="shared" si="597"/>
        <v>2.66</v>
      </c>
      <c r="X33" s="756">
        <f t="shared" si="612"/>
        <v>1.3221804511278195</v>
      </c>
      <c r="Y33" s="757">
        <f t="shared" si="613"/>
        <v>1.3221804511278195</v>
      </c>
      <c r="Z33" s="755">
        <f t="shared" si="597"/>
        <v>2.6</v>
      </c>
      <c r="AA33" s="756">
        <f t="shared" si="614"/>
        <v>1.3526923076923076</v>
      </c>
      <c r="AB33" s="757">
        <f t="shared" si="615"/>
        <v>1.3526923076923076</v>
      </c>
      <c r="AC33" s="755">
        <f t="shared" si="597"/>
        <v>2.56</v>
      </c>
      <c r="AD33" s="756">
        <f t="shared" si="616"/>
        <v>1.373828125</v>
      </c>
      <c r="AE33" s="757">
        <f t="shared" si="617"/>
        <v>1.373828125</v>
      </c>
      <c r="AF33" s="755">
        <f t="shared" si="597"/>
        <v>2.2400000000000002</v>
      </c>
      <c r="AG33" s="756">
        <f t="shared" si="618"/>
        <v>1.5700892857142856</v>
      </c>
      <c r="AH33" s="757">
        <f t="shared" si="619"/>
        <v>1.5700892857142856</v>
      </c>
      <c r="AI33" s="755">
        <f t="shared" si="597"/>
        <v>2.21</v>
      </c>
      <c r="AJ33" s="756">
        <f t="shared" si="620"/>
        <v>1.5914027149321266</v>
      </c>
      <c r="AK33" s="757">
        <f t="shared" si="621"/>
        <v>1.5914027149321266</v>
      </c>
      <c r="AL33" s="755">
        <f t="shared" si="523"/>
        <v>2.16</v>
      </c>
      <c r="AM33" s="756">
        <f t="shared" si="622"/>
        <v>1.6282407407407407</v>
      </c>
      <c r="AN33" s="757">
        <f t="shared" si="623"/>
        <v>1.6282407407407407</v>
      </c>
      <c r="AO33" s="755">
        <f t="shared" si="525"/>
        <v>2.04</v>
      </c>
      <c r="AP33" s="756">
        <f t="shared" si="624"/>
        <v>1.7240196078431371</v>
      </c>
      <c r="AQ33" s="757">
        <f t="shared" si="625"/>
        <v>1.7240196078431371</v>
      </c>
      <c r="AR33" s="755">
        <f t="shared" si="527"/>
        <v>1.79</v>
      </c>
      <c r="AS33" s="756">
        <f t="shared" si="626"/>
        <v>1.964804469273743</v>
      </c>
      <c r="AT33" s="757">
        <f t="shared" si="627"/>
        <v>1.964804469273743</v>
      </c>
      <c r="AU33" s="755">
        <f t="shared" si="529"/>
        <v>2.4300000000000002</v>
      </c>
      <c r="AV33" s="756">
        <f t="shared" si="628"/>
        <v>1.4473251028806584</v>
      </c>
      <c r="AW33" s="757">
        <f t="shared" si="629"/>
        <v>1.4473251028806584</v>
      </c>
      <c r="AX33" s="755">
        <f t="shared" si="531"/>
        <v>2.3199999999999998</v>
      </c>
      <c r="AY33" s="756">
        <f t="shared" si="630"/>
        <v>1.515948275862069</v>
      </c>
      <c r="AZ33" s="757">
        <f t="shared" si="631"/>
        <v>1.515948275862069</v>
      </c>
      <c r="BA33" s="755">
        <f t="shared" si="533"/>
        <v>2.2000000000000002</v>
      </c>
      <c r="BB33" s="756">
        <f t="shared" si="632"/>
        <v>1.5986363636363634</v>
      </c>
      <c r="BC33" s="757">
        <f t="shared" si="633"/>
        <v>1.5986363636363634</v>
      </c>
      <c r="BD33" s="755">
        <f t="shared" si="535"/>
        <v>2.39</v>
      </c>
      <c r="BE33" s="756">
        <f t="shared" si="634"/>
        <v>1.4715481171548117</v>
      </c>
      <c r="BF33" s="757">
        <f t="shared" si="635"/>
        <v>1.4715481171548117</v>
      </c>
      <c r="BG33" s="755">
        <f t="shared" si="537"/>
        <v>2.2599999999999998</v>
      </c>
      <c r="BH33" s="756">
        <f t="shared" si="636"/>
        <v>1.5561946902654868</v>
      </c>
      <c r="BI33" s="757">
        <f t="shared" si="637"/>
        <v>1.5561946902654868</v>
      </c>
      <c r="BJ33" s="755">
        <f t="shared" si="539"/>
        <v>2.15</v>
      </c>
      <c r="BK33" s="756">
        <f t="shared" si="638"/>
        <v>1.6358139534883722</v>
      </c>
      <c r="BL33" s="757">
        <f t="shared" si="639"/>
        <v>1.6358139534883722</v>
      </c>
      <c r="BM33" s="755">
        <f t="shared" si="541"/>
        <v>2.2200000000000002</v>
      </c>
      <c r="BN33" s="756">
        <f t="shared" si="640"/>
        <v>1.5842342342342342</v>
      </c>
      <c r="BO33" s="757">
        <f t="shared" si="641"/>
        <v>1.5842342342342342</v>
      </c>
      <c r="BP33" s="755">
        <f t="shared" si="543"/>
        <v>1.89</v>
      </c>
      <c r="BQ33" s="756">
        <f t="shared" si="642"/>
        <v>1.860846560846561</v>
      </c>
      <c r="BR33" s="757">
        <f t="shared" si="643"/>
        <v>1.860846560846561</v>
      </c>
      <c r="BS33" s="755">
        <f t="shared" si="545"/>
        <v>1.85</v>
      </c>
      <c r="BT33" s="756">
        <f t="shared" si="644"/>
        <v>1.901081081081081</v>
      </c>
      <c r="BU33" s="757">
        <f t="shared" si="645"/>
        <v>1.901081081081081</v>
      </c>
      <c r="BV33" s="755">
        <v>2.7</v>
      </c>
      <c r="BW33" s="756">
        <v>1.3025925925925901</v>
      </c>
      <c r="BX33" s="757">
        <v>1.3025925925925901</v>
      </c>
      <c r="BY33" s="755">
        <v>2.58</v>
      </c>
      <c r="BZ33" s="756">
        <v>1.3631782945736399</v>
      </c>
      <c r="CA33" s="757">
        <v>1.3631782945736399</v>
      </c>
      <c r="CB33" s="755">
        <v>2.36</v>
      </c>
      <c r="CC33" s="756">
        <v>1.49025423728814</v>
      </c>
      <c r="CD33" s="757">
        <v>1.49025423728814</v>
      </c>
      <c r="CE33" s="755">
        <v>2.16</v>
      </c>
      <c r="CF33" s="756">
        <v>1.62824074074074</v>
      </c>
      <c r="CG33" s="757">
        <v>1.62824074074074</v>
      </c>
      <c r="CH33" s="755">
        <v>2.04</v>
      </c>
      <c r="CI33" s="756">
        <v>1.72401960784314</v>
      </c>
      <c r="CJ33" s="757">
        <v>1.72401960784314</v>
      </c>
      <c r="CK33" s="755">
        <v>1.79</v>
      </c>
      <c r="CL33" s="756">
        <v>1.9648044692737401</v>
      </c>
      <c r="CM33" s="757">
        <v>1.9648044692737401</v>
      </c>
      <c r="CN33" s="755">
        <v>2.56</v>
      </c>
      <c r="CO33" s="756">
        <v>1.373828125</v>
      </c>
      <c r="CP33" s="757">
        <v>1.373828125</v>
      </c>
      <c r="CQ33" s="755">
        <v>2.2400000000000002</v>
      </c>
      <c r="CR33" s="756">
        <v>1.5700892857142901</v>
      </c>
      <c r="CS33" s="757">
        <v>1.5700892857142901</v>
      </c>
      <c r="CT33" s="755">
        <v>2.21</v>
      </c>
      <c r="CU33" s="756">
        <v>1.5914027149321299</v>
      </c>
      <c r="CV33" s="757">
        <v>1.5914027149321299</v>
      </c>
      <c r="CW33" s="755">
        <v>2.2200000000000002</v>
      </c>
      <c r="CX33" s="756">
        <v>1.5842342342342299</v>
      </c>
      <c r="CY33" s="757">
        <v>1.5842342342342299</v>
      </c>
      <c r="CZ33" s="755">
        <v>1.89</v>
      </c>
      <c r="DA33" s="756">
        <v>1.8608465608465601</v>
      </c>
      <c r="DB33" s="757">
        <v>1.8608465608465601</v>
      </c>
      <c r="DC33" s="755">
        <v>1.89</v>
      </c>
      <c r="DD33" s="756">
        <v>1.8608465608465601</v>
      </c>
      <c r="DE33" s="757">
        <v>1.8608465608465601</v>
      </c>
    </row>
    <row r="34" spans="1:109" x14ac:dyDescent="0.25">
      <c r="A34" s="759">
        <v>2025</v>
      </c>
      <c r="B34" s="755">
        <f t="shared" si="595"/>
        <v>2.7</v>
      </c>
      <c r="C34" s="756">
        <f t="shared" si="598"/>
        <v>1.3025925925925925</v>
      </c>
      <c r="D34" s="757">
        <f t="shared" si="599"/>
        <v>1.3025925925925925</v>
      </c>
      <c r="E34" s="755">
        <f t="shared" si="596"/>
        <v>2.58</v>
      </c>
      <c r="F34" s="756">
        <f t="shared" si="600"/>
        <v>1.3631782945736433</v>
      </c>
      <c r="G34" s="757">
        <f t="shared" si="601"/>
        <v>1.3631782945736433</v>
      </c>
      <c r="H34" s="755">
        <f t="shared" si="596"/>
        <v>2.36</v>
      </c>
      <c r="I34" s="756">
        <f t="shared" si="602"/>
        <v>1.4902542372881356</v>
      </c>
      <c r="J34" s="757">
        <f t="shared" si="603"/>
        <v>1.4902542372881356</v>
      </c>
      <c r="K34" s="755">
        <f t="shared" si="596"/>
        <v>2.82</v>
      </c>
      <c r="L34" s="756">
        <f t="shared" si="604"/>
        <v>1.2471631205673759</v>
      </c>
      <c r="M34" s="757">
        <f t="shared" si="605"/>
        <v>1.2471631205673759</v>
      </c>
      <c r="N34" s="755">
        <f t="shared" si="596"/>
        <v>2.73</v>
      </c>
      <c r="O34" s="756">
        <f t="shared" si="606"/>
        <v>1.2882783882783881</v>
      </c>
      <c r="P34" s="757">
        <f t="shared" si="607"/>
        <v>1.2882783882783881</v>
      </c>
      <c r="Q34" s="755">
        <f t="shared" si="596"/>
        <v>2.67</v>
      </c>
      <c r="R34" s="756">
        <f t="shared" si="608"/>
        <v>1.3172284644194756</v>
      </c>
      <c r="S34" s="757">
        <f t="shared" si="609"/>
        <v>1.3172284644194756</v>
      </c>
      <c r="T34" s="755">
        <f t="shared" si="596"/>
        <v>2.75</v>
      </c>
      <c r="U34" s="756">
        <f t="shared" si="610"/>
        <v>1.2789090909090908</v>
      </c>
      <c r="V34" s="757">
        <f t="shared" si="611"/>
        <v>1.2789090909090908</v>
      </c>
      <c r="W34" s="755">
        <f t="shared" si="597"/>
        <v>2.66</v>
      </c>
      <c r="X34" s="756">
        <f t="shared" si="612"/>
        <v>1.3221804511278195</v>
      </c>
      <c r="Y34" s="757">
        <f t="shared" si="613"/>
        <v>1.3221804511278195</v>
      </c>
      <c r="Z34" s="755">
        <f t="shared" si="597"/>
        <v>2.6</v>
      </c>
      <c r="AA34" s="756">
        <f t="shared" si="614"/>
        <v>1.3526923076923076</v>
      </c>
      <c r="AB34" s="757">
        <f t="shared" si="615"/>
        <v>1.3526923076923076</v>
      </c>
      <c r="AC34" s="755">
        <f t="shared" si="597"/>
        <v>2.56</v>
      </c>
      <c r="AD34" s="756">
        <f t="shared" si="616"/>
        <v>1.373828125</v>
      </c>
      <c r="AE34" s="757">
        <f t="shared" si="617"/>
        <v>1.373828125</v>
      </c>
      <c r="AF34" s="755">
        <f t="shared" si="597"/>
        <v>2.2400000000000002</v>
      </c>
      <c r="AG34" s="756">
        <f t="shared" si="618"/>
        <v>1.5700892857142856</v>
      </c>
      <c r="AH34" s="757">
        <f t="shared" si="619"/>
        <v>1.5700892857142856</v>
      </c>
      <c r="AI34" s="755">
        <f t="shared" si="597"/>
        <v>2.21</v>
      </c>
      <c r="AJ34" s="756">
        <f t="shared" si="620"/>
        <v>1.5914027149321266</v>
      </c>
      <c r="AK34" s="757">
        <f t="shared" si="621"/>
        <v>1.5914027149321266</v>
      </c>
      <c r="AL34" s="755">
        <f t="shared" si="523"/>
        <v>2.16</v>
      </c>
      <c r="AM34" s="756">
        <f t="shared" si="622"/>
        <v>1.6282407407407407</v>
      </c>
      <c r="AN34" s="757">
        <f t="shared" si="623"/>
        <v>1.6282407407407407</v>
      </c>
      <c r="AO34" s="755">
        <f t="shared" si="525"/>
        <v>2.04</v>
      </c>
      <c r="AP34" s="756">
        <f t="shared" si="624"/>
        <v>1.7240196078431371</v>
      </c>
      <c r="AQ34" s="757">
        <f t="shared" si="625"/>
        <v>1.7240196078431371</v>
      </c>
      <c r="AR34" s="755">
        <f t="shared" si="527"/>
        <v>1.79</v>
      </c>
      <c r="AS34" s="756">
        <f t="shared" si="626"/>
        <v>1.964804469273743</v>
      </c>
      <c r="AT34" s="757">
        <f t="shared" si="627"/>
        <v>1.964804469273743</v>
      </c>
      <c r="AU34" s="755">
        <f t="shared" si="529"/>
        <v>2.4300000000000002</v>
      </c>
      <c r="AV34" s="756">
        <f t="shared" si="628"/>
        <v>1.4473251028806584</v>
      </c>
      <c r="AW34" s="757">
        <f t="shared" si="629"/>
        <v>1.4473251028806584</v>
      </c>
      <c r="AX34" s="755">
        <f t="shared" si="531"/>
        <v>2.3199999999999998</v>
      </c>
      <c r="AY34" s="756">
        <f t="shared" si="630"/>
        <v>1.515948275862069</v>
      </c>
      <c r="AZ34" s="757">
        <f t="shared" si="631"/>
        <v>1.515948275862069</v>
      </c>
      <c r="BA34" s="755">
        <f t="shared" si="533"/>
        <v>2.2000000000000002</v>
      </c>
      <c r="BB34" s="756">
        <f t="shared" si="632"/>
        <v>1.5986363636363634</v>
      </c>
      <c r="BC34" s="757">
        <f t="shared" si="633"/>
        <v>1.5986363636363634</v>
      </c>
      <c r="BD34" s="755">
        <f t="shared" si="535"/>
        <v>2.39</v>
      </c>
      <c r="BE34" s="756">
        <f t="shared" si="634"/>
        <v>1.4715481171548117</v>
      </c>
      <c r="BF34" s="757">
        <f t="shared" si="635"/>
        <v>1.4715481171548117</v>
      </c>
      <c r="BG34" s="755">
        <f t="shared" si="537"/>
        <v>2.2599999999999998</v>
      </c>
      <c r="BH34" s="756">
        <f t="shared" si="636"/>
        <v>1.5561946902654868</v>
      </c>
      <c r="BI34" s="757">
        <f t="shared" si="637"/>
        <v>1.5561946902654868</v>
      </c>
      <c r="BJ34" s="755">
        <f t="shared" si="539"/>
        <v>2.15</v>
      </c>
      <c r="BK34" s="756">
        <f t="shared" si="638"/>
        <v>1.6358139534883722</v>
      </c>
      <c r="BL34" s="757">
        <f t="shared" si="639"/>
        <v>1.6358139534883722</v>
      </c>
      <c r="BM34" s="755">
        <f t="shared" si="541"/>
        <v>2.2200000000000002</v>
      </c>
      <c r="BN34" s="756">
        <f t="shared" si="640"/>
        <v>1.5842342342342342</v>
      </c>
      <c r="BO34" s="757">
        <f t="shared" si="641"/>
        <v>1.5842342342342342</v>
      </c>
      <c r="BP34" s="755">
        <f t="shared" si="543"/>
        <v>1.89</v>
      </c>
      <c r="BQ34" s="756">
        <f t="shared" si="642"/>
        <v>1.860846560846561</v>
      </c>
      <c r="BR34" s="757">
        <f t="shared" si="643"/>
        <v>1.860846560846561</v>
      </c>
      <c r="BS34" s="755">
        <f t="shared" si="545"/>
        <v>1.85</v>
      </c>
      <c r="BT34" s="756">
        <f t="shared" si="644"/>
        <v>1.901081081081081</v>
      </c>
      <c r="BU34" s="757">
        <f t="shared" si="645"/>
        <v>1.901081081081081</v>
      </c>
      <c r="BV34" s="755">
        <v>2.7</v>
      </c>
      <c r="BW34" s="756">
        <v>1.3025925925925901</v>
      </c>
      <c r="BX34" s="757">
        <v>1.3025925925925901</v>
      </c>
      <c r="BY34" s="755">
        <v>2.58</v>
      </c>
      <c r="BZ34" s="756">
        <v>1.3631782945736399</v>
      </c>
      <c r="CA34" s="757">
        <v>1.3631782945736399</v>
      </c>
      <c r="CB34" s="755">
        <v>2.36</v>
      </c>
      <c r="CC34" s="756">
        <v>1.49025423728814</v>
      </c>
      <c r="CD34" s="757">
        <v>1.49025423728814</v>
      </c>
      <c r="CE34" s="755">
        <v>2.16</v>
      </c>
      <c r="CF34" s="756">
        <v>1.62824074074074</v>
      </c>
      <c r="CG34" s="757">
        <v>1.62824074074074</v>
      </c>
      <c r="CH34" s="755">
        <v>2.04</v>
      </c>
      <c r="CI34" s="756">
        <v>1.72401960784314</v>
      </c>
      <c r="CJ34" s="757">
        <v>1.72401960784314</v>
      </c>
      <c r="CK34" s="755">
        <v>1.79</v>
      </c>
      <c r="CL34" s="756">
        <v>1.9648044692737401</v>
      </c>
      <c r="CM34" s="757">
        <v>1.9648044692737401</v>
      </c>
      <c r="CN34" s="755">
        <v>2.56</v>
      </c>
      <c r="CO34" s="756">
        <v>1.373828125</v>
      </c>
      <c r="CP34" s="757">
        <v>1.373828125</v>
      </c>
      <c r="CQ34" s="755">
        <v>2.2400000000000002</v>
      </c>
      <c r="CR34" s="756">
        <v>1.5700892857142901</v>
      </c>
      <c r="CS34" s="757">
        <v>1.5700892857142901</v>
      </c>
      <c r="CT34" s="755">
        <v>2.21</v>
      </c>
      <c r="CU34" s="756">
        <v>1.5914027149321299</v>
      </c>
      <c r="CV34" s="757">
        <v>1.5914027149321299</v>
      </c>
      <c r="CW34" s="755">
        <v>2.2200000000000002</v>
      </c>
      <c r="CX34" s="756">
        <v>1.5842342342342299</v>
      </c>
      <c r="CY34" s="757">
        <v>1.5842342342342299</v>
      </c>
      <c r="CZ34" s="755">
        <v>1.89</v>
      </c>
      <c r="DA34" s="756">
        <v>1.8608465608465601</v>
      </c>
      <c r="DB34" s="757">
        <v>1.8608465608465601</v>
      </c>
      <c r="DC34" s="755">
        <v>1.89</v>
      </c>
      <c r="DD34" s="756">
        <v>1.8608465608465601</v>
      </c>
      <c r="DE34" s="757">
        <v>1.8608465608465601</v>
      </c>
    </row>
    <row r="35" spans="1:109" hidden="1" x14ac:dyDescent="0.25">
      <c r="A35" s="759" t="str">
        <v>ARTRM9.2</v>
      </c>
      <c r="B35" s="755"/>
      <c r="C35" s="756"/>
      <c r="D35" s="757"/>
      <c r="E35" s="755"/>
      <c r="F35" s="756"/>
      <c r="G35" s="757"/>
      <c r="H35" s="755"/>
      <c r="I35" s="756"/>
      <c r="J35" s="757"/>
      <c r="K35" s="755"/>
      <c r="L35" s="756"/>
      <c r="M35" s="757"/>
      <c r="N35" s="755"/>
      <c r="O35" s="756"/>
      <c r="P35" s="757"/>
      <c r="Q35" s="755"/>
      <c r="R35" s="756"/>
      <c r="S35" s="757"/>
      <c r="T35" s="755"/>
      <c r="U35" s="756"/>
      <c r="V35" s="757"/>
      <c r="W35" s="755"/>
      <c r="X35" s="756"/>
      <c r="Y35" s="757"/>
      <c r="Z35" s="755"/>
      <c r="AA35" s="756"/>
      <c r="AB35" s="757"/>
      <c r="AC35" s="755"/>
      <c r="AD35" s="756"/>
      <c r="AE35" s="757"/>
      <c r="AF35" s="755"/>
      <c r="AG35" s="756"/>
      <c r="AH35" s="757"/>
      <c r="AI35" s="755"/>
      <c r="AJ35" s="756"/>
      <c r="AK35" s="757"/>
      <c r="AL35" s="755"/>
      <c r="AM35" s="756"/>
      <c r="AN35" s="757"/>
      <c r="AO35" s="755"/>
      <c r="AP35" s="756"/>
      <c r="AQ35" s="757"/>
      <c r="AR35" s="755"/>
      <c r="AS35" s="756"/>
      <c r="AT35" s="757"/>
      <c r="AU35" s="755"/>
      <c r="AV35" s="756"/>
      <c r="AW35" s="757"/>
      <c r="AX35" s="755"/>
      <c r="AY35" s="756"/>
      <c r="AZ35" s="757"/>
      <c r="BA35" s="755"/>
      <c r="BB35" s="756"/>
      <c r="BC35" s="757"/>
      <c r="BD35" s="755"/>
      <c r="BE35" s="756"/>
      <c r="BF35" s="757"/>
      <c r="BG35" s="755"/>
      <c r="BH35" s="756"/>
      <c r="BI35" s="757"/>
      <c r="BJ35" s="755"/>
      <c r="BK35" s="756"/>
      <c r="BL35" s="757"/>
      <c r="BM35" s="755"/>
      <c r="BN35" s="756"/>
      <c r="BO35" s="757"/>
      <c r="BP35" s="755"/>
      <c r="BQ35" s="756"/>
      <c r="BR35" s="757"/>
      <c r="BS35" s="755"/>
      <c r="BT35" s="756"/>
      <c r="BU35" s="757"/>
      <c r="BV35" s="755"/>
      <c r="BW35" s="756"/>
      <c r="BX35" s="757"/>
      <c r="BY35" s="755"/>
      <c r="BZ35" s="756"/>
      <c r="CA35" s="757"/>
      <c r="CB35" s="755"/>
      <c r="CC35" s="756"/>
      <c r="CD35" s="757"/>
      <c r="CE35" s="755"/>
      <c r="CF35" s="756"/>
      <c r="CG35" s="757"/>
      <c r="CH35" s="755"/>
      <c r="CI35" s="756"/>
      <c r="CJ35" s="757"/>
      <c r="CK35" s="755"/>
      <c r="CL35" s="756"/>
      <c r="CM35" s="757"/>
      <c r="CN35" s="755"/>
      <c r="CO35" s="756"/>
      <c r="CP35" s="757"/>
      <c r="CQ35" s="755"/>
      <c r="CR35" s="756"/>
      <c r="CS35" s="757"/>
      <c r="CT35" s="755"/>
      <c r="CU35" s="756"/>
      <c r="CV35" s="757"/>
      <c r="CW35" s="755"/>
      <c r="CX35" s="756"/>
      <c r="CY35" s="757"/>
      <c r="CZ35" s="755"/>
      <c r="DA35" s="756"/>
      <c r="DB35" s="757"/>
      <c r="DC35" s="755"/>
      <c r="DD35" s="756"/>
      <c r="DE35" s="757"/>
    </row>
    <row r="36" spans="1:109" s="421" customFormat="1" ht="15.75" thickBot="1" x14ac:dyDescent="0.3">
      <c r="A36" s="760" t="str">
        <v>CPS</v>
      </c>
      <c r="B36" s="755">
        <v>2.7</v>
      </c>
      <c r="C36" s="756">
        <f>3.517/B36</f>
        <v>1.3025925925925925</v>
      </c>
      <c r="D36" s="757">
        <f t="shared" si="26"/>
        <v>1.3025925925925925</v>
      </c>
      <c r="E36" s="755">
        <v>2.58</v>
      </c>
      <c r="F36" s="756">
        <f>3.517/E36</f>
        <v>1.3631782945736433</v>
      </c>
      <c r="G36" s="757">
        <f t="shared" si="29"/>
        <v>1.3631782945736433</v>
      </c>
      <c r="H36" s="755">
        <v>2.36</v>
      </c>
      <c r="I36" s="756">
        <f>3.517/H36</f>
        <v>1.4902542372881356</v>
      </c>
      <c r="J36" s="757">
        <f t="shared" si="32"/>
        <v>1.4902542372881356</v>
      </c>
      <c r="K36" s="755">
        <v>2.82</v>
      </c>
      <c r="L36" s="756">
        <f>3.517/K36</f>
        <v>1.2471631205673759</v>
      </c>
      <c r="M36" s="757">
        <f t="shared" si="35"/>
        <v>1.2471631205673759</v>
      </c>
      <c r="N36" s="755">
        <v>2.73</v>
      </c>
      <c r="O36" s="756">
        <f>3.517/N36</f>
        <v>1.2882783882783881</v>
      </c>
      <c r="P36" s="757">
        <f t="shared" si="38"/>
        <v>1.2882783882783881</v>
      </c>
      <c r="Q36" s="755">
        <v>2.67</v>
      </c>
      <c r="R36" s="756">
        <f>3.517/Q36</f>
        <v>1.3172284644194756</v>
      </c>
      <c r="S36" s="757">
        <f t="shared" si="41"/>
        <v>1.3172284644194756</v>
      </c>
      <c r="T36" s="755">
        <v>2.75</v>
      </c>
      <c r="U36" s="756">
        <f>3.517/T36</f>
        <v>1.2789090909090908</v>
      </c>
      <c r="V36" s="757">
        <f t="shared" si="44"/>
        <v>1.2789090909090908</v>
      </c>
      <c r="W36" s="755">
        <v>2.66</v>
      </c>
      <c r="X36" s="756">
        <f>3.517/W36</f>
        <v>1.3221804511278195</v>
      </c>
      <c r="Y36" s="757">
        <f t="shared" si="47"/>
        <v>1.3221804511278195</v>
      </c>
      <c r="Z36" s="755">
        <v>2.6</v>
      </c>
      <c r="AA36" s="756">
        <f>3.517/Z36</f>
        <v>1.3526923076923076</v>
      </c>
      <c r="AB36" s="757">
        <f t="shared" si="50"/>
        <v>1.3526923076923076</v>
      </c>
      <c r="AC36" s="755">
        <v>2.56</v>
      </c>
      <c r="AD36" s="756">
        <f>3.517/AC36</f>
        <v>1.373828125</v>
      </c>
      <c r="AE36" s="757">
        <f t="shared" si="53"/>
        <v>1.373828125</v>
      </c>
      <c r="AF36" s="755">
        <v>2.2400000000000002</v>
      </c>
      <c r="AG36" s="756">
        <f>3.517/AF36</f>
        <v>1.5700892857142856</v>
      </c>
      <c r="AH36" s="757">
        <f t="shared" si="56"/>
        <v>1.5700892857142856</v>
      </c>
      <c r="AI36" s="755">
        <v>2.21</v>
      </c>
      <c r="AJ36" s="756">
        <f>3.517/AI36</f>
        <v>1.5914027149321266</v>
      </c>
      <c r="AK36" s="757">
        <f t="shared" si="59"/>
        <v>1.5914027149321266</v>
      </c>
      <c r="AL36" s="755">
        <v>2.16</v>
      </c>
      <c r="AM36" s="756">
        <f>3.517/AL36</f>
        <v>1.6282407407407407</v>
      </c>
      <c r="AN36" s="757">
        <f t="shared" si="62"/>
        <v>1.6282407407407407</v>
      </c>
      <c r="AO36" s="755">
        <v>2.04</v>
      </c>
      <c r="AP36" s="756">
        <f>3.517/AO36</f>
        <v>1.7240196078431371</v>
      </c>
      <c r="AQ36" s="757">
        <f t="shared" si="65"/>
        <v>1.7240196078431371</v>
      </c>
      <c r="AR36" s="755">
        <v>1.79</v>
      </c>
      <c r="AS36" s="756">
        <f>3.517/AR36</f>
        <v>1.964804469273743</v>
      </c>
      <c r="AT36" s="757">
        <f t="shared" si="68"/>
        <v>1.964804469273743</v>
      </c>
      <c r="AU36" s="755">
        <v>2.4300000000000002</v>
      </c>
      <c r="AV36" s="756">
        <f>3.517/AU36</f>
        <v>1.4473251028806584</v>
      </c>
      <c r="AW36" s="757">
        <f t="shared" si="71"/>
        <v>1.4473251028806584</v>
      </c>
      <c r="AX36" s="755">
        <v>2.3199999999999998</v>
      </c>
      <c r="AY36" s="756">
        <f>3.517/AX36</f>
        <v>1.515948275862069</v>
      </c>
      <c r="AZ36" s="757">
        <f t="shared" si="74"/>
        <v>1.515948275862069</v>
      </c>
      <c r="BA36" s="755">
        <v>2.2000000000000002</v>
      </c>
      <c r="BB36" s="756">
        <f>3.517/BA36</f>
        <v>1.5986363636363634</v>
      </c>
      <c r="BC36" s="757">
        <f t="shared" si="77"/>
        <v>1.5986363636363634</v>
      </c>
      <c r="BD36" s="755">
        <v>2.39</v>
      </c>
      <c r="BE36" s="756">
        <f>3.517/BD36</f>
        <v>1.4715481171548117</v>
      </c>
      <c r="BF36" s="757">
        <f t="shared" si="80"/>
        <v>1.4715481171548117</v>
      </c>
      <c r="BG36" s="755">
        <v>2.2599999999999998</v>
      </c>
      <c r="BH36" s="756">
        <f>3.517/BG36</f>
        <v>1.5561946902654868</v>
      </c>
      <c r="BI36" s="757">
        <f t="shared" si="83"/>
        <v>1.5561946902654868</v>
      </c>
      <c r="BJ36" s="755">
        <v>2.15</v>
      </c>
      <c r="BK36" s="756">
        <f>3.517/BJ36</f>
        <v>1.6358139534883722</v>
      </c>
      <c r="BL36" s="757">
        <f t="shared" si="86"/>
        <v>1.6358139534883722</v>
      </c>
      <c r="BM36" s="755">
        <v>2.2200000000000002</v>
      </c>
      <c r="BN36" s="756">
        <f>3.517/BM36</f>
        <v>1.5842342342342342</v>
      </c>
      <c r="BO36" s="757">
        <f t="shared" si="89"/>
        <v>1.5842342342342342</v>
      </c>
      <c r="BP36" s="755">
        <v>1.89</v>
      </c>
      <c r="BQ36" s="756">
        <f>3.517/BP36</f>
        <v>1.860846560846561</v>
      </c>
      <c r="BR36" s="757">
        <f t="shared" si="92"/>
        <v>1.860846560846561</v>
      </c>
      <c r="BS36" s="755">
        <v>1.85</v>
      </c>
      <c r="BT36" s="756">
        <f>3.517/BS36</f>
        <v>1.901081081081081</v>
      </c>
      <c r="BU36" s="757">
        <f t="shared" si="95"/>
        <v>1.901081081081081</v>
      </c>
      <c r="BV36" s="755">
        <v>2.7</v>
      </c>
      <c r="BW36" s="756">
        <v>1.3025925925925901</v>
      </c>
      <c r="BX36" s="757">
        <v>1.3025925925925901</v>
      </c>
      <c r="BY36" s="755">
        <v>2.58</v>
      </c>
      <c r="BZ36" s="756">
        <v>1.3631782945736399</v>
      </c>
      <c r="CA36" s="757">
        <v>1.3631782945736399</v>
      </c>
      <c r="CB36" s="755">
        <v>2.36</v>
      </c>
      <c r="CC36" s="756">
        <v>1.49025423728814</v>
      </c>
      <c r="CD36" s="757">
        <v>1.49025423728814</v>
      </c>
      <c r="CE36" s="755">
        <v>2.16</v>
      </c>
      <c r="CF36" s="756">
        <v>1.62824074074074</v>
      </c>
      <c r="CG36" s="757">
        <v>1.62824074074074</v>
      </c>
      <c r="CH36" s="755">
        <v>2.04</v>
      </c>
      <c r="CI36" s="756">
        <v>1.72401960784314</v>
      </c>
      <c r="CJ36" s="757">
        <v>1.72401960784314</v>
      </c>
      <c r="CK36" s="755">
        <v>1.79</v>
      </c>
      <c r="CL36" s="756">
        <v>1.9648044692737401</v>
      </c>
      <c r="CM36" s="757">
        <v>1.9648044692737401</v>
      </c>
      <c r="CN36" s="755">
        <v>2.56</v>
      </c>
      <c r="CO36" s="756">
        <v>1.373828125</v>
      </c>
      <c r="CP36" s="757">
        <v>1.373828125</v>
      </c>
      <c r="CQ36" s="755">
        <v>2.2400000000000002</v>
      </c>
      <c r="CR36" s="756">
        <v>1.5700892857142901</v>
      </c>
      <c r="CS36" s="757">
        <v>1.5700892857142901</v>
      </c>
      <c r="CT36" s="755">
        <v>2.21</v>
      </c>
      <c r="CU36" s="756">
        <v>1.5914027149321299</v>
      </c>
      <c r="CV36" s="757">
        <v>1.5914027149321299</v>
      </c>
      <c r="CW36" s="755">
        <v>2.2200000000000002</v>
      </c>
      <c r="CX36" s="756">
        <v>1.5842342342342299</v>
      </c>
      <c r="CY36" s="757">
        <v>1.5842342342342299</v>
      </c>
      <c r="CZ36" s="755">
        <v>1.89</v>
      </c>
      <c r="DA36" s="756">
        <v>1.8608465608465601</v>
      </c>
      <c r="DB36" s="757">
        <v>1.8608465608465601</v>
      </c>
      <c r="DC36" s="755">
        <v>1.89</v>
      </c>
      <c r="DD36" s="756">
        <v>1.8608465608465601</v>
      </c>
      <c r="DE36" s="757">
        <v>1.8608465608465601</v>
      </c>
    </row>
    <row r="37" spans="1:109" x14ac:dyDescent="0.25">
      <c r="A37" t="s">
        <v>1515</v>
      </c>
      <c r="B37" t="s">
        <v>1516</v>
      </c>
      <c r="BV37" t="s">
        <v>1516</v>
      </c>
    </row>
    <row r="38" spans="1:109" x14ac:dyDescent="0.25">
      <c r="B38" t="s">
        <v>1072</v>
      </c>
      <c r="BV38" t="s">
        <v>1072</v>
      </c>
    </row>
    <row r="39" spans="1:109" x14ac:dyDescent="0.25">
      <c r="B39" s="135" t="s">
        <v>1071</v>
      </c>
      <c r="C39" s="135"/>
      <c r="D39" s="135" t="s">
        <v>1070</v>
      </c>
      <c r="E39" s="135"/>
      <c r="F39" s="135" t="s">
        <v>1069</v>
      </c>
      <c r="G39" s="135" t="s">
        <v>1068</v>
      </c>
      <c r="BV39" t="s">
        <v>1071</v>
      </c>
      <c r="BX39" t="s">
        <v>1070</v>
      </c>
      <c r="BZ39" t="s">
        <v>1069</v>
      </c>
      <c r="CA39" t="s">
        <v>1068</v>
      </c>
    </row>
    <row r="40" spans="1:109" x14ac:dyDescent="0.25">
      <c r="B40">
        <v>20000</v>
      </c>
      <c r="C40" t="s">
        <v>1067</v>
      </c>
      <c r="D40">
        <v>2.2000000000000002</v>
      </c>
      <c r="E40" t="s">
        <v>1065</v>
      </c>
      <c r="F40">
        <v>2000</v>
      </c>
      <c r="G40">
        <f>(B40/D40)*F40/3412</f>
        <v>5328.7861025258444</v>
      </c>
      <c r="BV40">
        <v>20000</v>
      </c>
      <c r="BW40" t="s">
        <v>1067</v>
      </c>
      <c r="BX40">
        <v>2.2000000000000002</v>
      </c>
      <c r="BY40" t="s">
        <v>1065</v>
      </c>
      <c r="BZ40">
        <v>2000</v>
      </c>
      <c r="CA40">
        <v>5328.7861025258399</v>
      </c>
    </row>
    <row r="41" spans="1:109" x14ac:dyDescent="0.25">
      <c r="B41">
        <f>B40/12000</f>
        <v>1.6666666666666667</v>
      </c>
      <c r="C41" t="s">
        <v>1066</v>
      </c>
      <c r="D41">
        <f>3.517/D40</f>
        <v>1.5986363636363634</v>
      </c>
      <c r="E41" t="s">
        <v>47</v>
      </c>
      <c r="F41">
        <v>2000</v>
      </c>
      <c r="G41">
        <f>B41*D41*F41</f>
        <v>5328.7878787878781</v>
      </c>
      <c r="BV41">
        <v>1.6666666666666701</v>
      </c>
      <c r="BW41" t="s">
        <v>1066</v>
      </c>
      <c r="BX41">
        <v>1.5986363636363601</v>
      </c>
      <c r="BY41" t="s">
        <v>47</v>
      </c>
      <c r="BZ41">
        <v>2000</v>
      </c>
      <c r="CA41">
        <v>5328.7878787878799</v>
      </c>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dimension ref="A1:AY37"/>
  <sheetViews>
    <sheetView zoomScale="85" zoomScaleNormal="85" workbookViewId="0">
      <selection activeCell="B37" sqref="B37"/>
    </sheetView>
  </sheetViews>
  <sheetFormatPr defaultColWidth="9.140625" defaultRowHeight="15" x14ac:dyDescent="0.25"/>
  <cols>
    <col min="1" max="1" width="16.140625" style="31" customWidth="1"/>
    <col min="2" max="49" width="15.7109375" style="32" customWidth="1"/>
    <col min="50" max="50" width="5.42578125" style="32" customWidth="1"/>
    <col min="51" max="51" width="48" style="31" customWidth="1"/>
    <col min="52" max="16384" width="9.140625" style="31"/>
  </cols>
  <sheetData>
    <row r="1" spans="1:51" customFormat="1" x14ac:dyDescent="0.25">
      <c r="B1" t="s">
        <v>62</v>
      </c>
      <c r="E1" t="s">
        <v>62</v>
      </c>
      <c r="H1" t="s">
        <v>62</v>
      </c>
      <c r="K1" t="s">
        <v>62</v>
      </c>
      <c r="N1" t="s">
        <v>62</v>
      </c>
      <c r="Q1" t="s">
        <v>62</v>
      </c>
      <c r="T1" t="s">
        <v>62</v>
      </c>
      <c r="W1" t="s">
        <v>62</v>
      </c>
      <c r="Z1" t="s">
        <v>62</v>
      </c>
      <c r="AC1" t="s">
        <v>62</v>
      </c>
      <c r="AF1" t="s">
        <v>62</v>
      </c>
      <c r="AI1" t="s">
        <v>62</v>
      </c>
      <c r="AL1" t="s">
        <v>62</v>
      </c>
      <c r="AO1" t="s">
        <v>62</v>
      </c>
      <c r="AR1" t="s">
        <v>62</v>
      </c>
      <c r="AU1" t="s">
        <v>62</v>
      </c>
    </row>
    <row r="2" spans="1:51" customFormat="1" x14ac:dyDescent="0.25">
      <c r="B2" t="s">
        <v>1109</v>
      </c>
      <c r="E2" t="s">
        <v>1109</v>
      </c>
      <c r="H2" t="s">
        <v>1109</v>
      </c>
      <c r="K2" t="s">
        <v>1109</v>
      </c>
      <c r="N2" t="s">
        <v>1109</v>
      </c>
      <c r="Q2" t="s">
        <v>1109</v>
      </c>
      <c r="T2" t="s">
        <v>1109</v>
      </c>
      <c r="W2" t="s">
        <v>1109</v>
      </c>
      <c r="Z2" t="s">
        <v>1109</v>
      </c>
      <c r="AC2" t="s">
        <v>1109</v>
      </c>
      <c r="AF2" t="s">
        <v>1107</v>
      </c>
      <c r="AI2" t="s">
        <v>1107</v>
      </c>
      <c r="AL2" t="s">
        <v>1107</v>
      </c>
      <c r="AO2" t="s">
        <v>1107</v>
      </c>
      <c r="AR2" t="s">
        <v>789</v>
      </c>
      <c r="AU2" t="s">
        <v>790</v>
      </c>
    </row>
    <row r="3" spans="1:51" customFormat="1" x14ac:dyDescent="0.25">
      <c r="B3" t="s">
        <v>1108</v>
      </c>
      <c r="E3" t="s">
        <v>1108</v>
      </c>
      <c r="H3" t="s">
        <v>1108</v>
      </c>
      <c r="K3" t="s">
        <v>1108</v>
      </c>
      <c r="N3" t="s">
        <v>1108</v>
      </c>
      <c r="Q3" t="s">
        <v>1110</v>
      </c>
      <c r="T3" t="s">
        <v>1110</v>
      </c>
      <c r="W3" t="s">
        <v>1110</v>
      </c>
      <c r="Z3" t="s">
        <v>1110</v>
      </c>
      <c r="AC3" t="s">
        <v>1110</v>
      </c>
      <c r="AF3" t="s">
        <v>1108</v>
      </c>
      <c r="AI3" t="s">
        <v>1108</v>
      </c>
      <c r="AL3" t="s">
        <v>1110</v>
      </c>
      <c r="AO3" t="s">
        <v>1110</v>
      </c>
    </row>
    <row r="4" spans="1:51" customFormat="1" x14ac:dyDescent="0.25">
      <c r="B4" t="s">
        <v>1111</v>
      </c>
      <c r="E4" t="s">
        <v>362</v>
      </c>
      <c r="H4" t="s">
        <v>363</v>
      </c>
      <c r="K4" t="s">
        <v>1098</v>
      </c>
      <c r="N4" t="s">
        <v>1097</v>
      </c>
      <c r="Q4" t="s">
        <v>1111</v>
      </c>
      <c r="T4" t="s">
        <v>783</v>
      </c>
      <c r="W4" t="s">
        <v>784</v>
      </c>
      <c r="Z4" t="s">
        <v>363</v>
      </c>
      <c r="AC4" t="s">
        <v>355</v>
      </c>
      <c r="AF4" t="s">
        <v>348</v>
      </c>
      <c r="AI4" t="s">
        <v>355</v>
      </c>
      <c r="AL4" t="s">
        <v>349</v>
      </c>
      <c r="AO4" t="s">
        <v>356</v>
      </c>
      <c r="AR4" t="s">
        <v>166</v>
      </c>
      <c r="AU4" t="s">
        <v>166</v>
      </c>
    </row>
    <row r="5" spans="1:51" customFormat="1" x14ac:dyDescent="0.25">
      <c r="B5" t="str">
        <f>B1&amp;B2&amp;B3&amp;B4</f>
        <v>RoomAirConditionerWithoutReverseCycleWithLouveredSidesLessthan8kbtuh</v>
      </c>
      <c r="E5" t="str">
        <f>E1&amp;E2&amp;E3&amp;E4</f>
        <v>RoomAirConditionerWithoutReverseCycleWithLouveredSides8to14kbtuh</v>
      </c>
      <c r="H5" t="str">
        <f>H1&amp;H2&amp;H3&amp;H4</f>
        <v>RoomAirConditionerWithoutReverseCycleWithLouveredSides14to20kbtuh</v>
      </c>
      <c r="K5" t="str">
        <f>K1&amp;K2&amp;K3&amp;K4</f>
        <v>RoomAirConditionerWithoutReverseCycleWithLouveredSides20to25kbtuh</v>
      </c>
      <c r="N5" t="str">
        <f>N1&amp;N2&amp;N3&amp;N4</f>
        <v>RoomAirConditionerWithoutReverseCycleWithLouveredSidesGreaterthan25kbtuh</v>
      </c>
      <c r="Q5" t="str">
        <f>Q1&amp;Q2&amp;Q3&amp;Q4</f>
        <v>RoomAirConditionerWithoutReverseCycleWithoutLouveredSidesLessthan8kbtuh</v>
      </c>
      <c r="T5" t="str">
        <f>T1&amp;T2&amp;T3&amp;T4</f>
        <v>RoomAirConditionerWithoutReverseCycleWithoutLouveredSides8to11kbtuh</v>
      </c>
      <c r="W5" t="str">
        <f>W1&amp;W2&amp;W3&amp;W4</f>
        <v>RoomAirConditionerWithoutReverseCycleWithoutLouveredSides11to14kbtuh</v>
      </c>
      <c r="Z5" t="str">
        <f>Z1&amp;Z2&amp;Z3&amp;Z4</f>
        <v>RoomAirConditionerWithoutReverseCycleWithoutLouveredSides14to20kbtuh</v>
      </c>
      <c r="AC5" t="str">
        <f>AC1&amp;AC2&amp;AC3&amp;AC4</f>
        <v>RoomAirConditionerWithoutReverseCycleWithoutLouveredSidesGreaterthan20kbtuh</v>
      </c>
      <c r="AF5" t="str">
        <f>AF1&amp;AF2&amp;AF3&amp;AF4</f>
        <v>RoomAirConditionerWithReverseCycleWithLouveredSidesLessthan20kbtuh</v>
      </c>
      <c r="AI5" t="str">
        <f>AI1&amp;AI2&amp;AI3&amp;AI4</f>
        <v>RoomAirConditionerWithReverseCycleWithLouveredSidesGreaterthan20kbtuh</v>
      </c>
      <c r="AL5" t="str">
        <f>AL1&amp;AL2&amp;AL3&amp;AL4</f>
        <v>RoomAirConditionerWithReverseCycleWithoutLouveredSidesLessthan14kbtuh</v>
      </c>
      <c r="AO5" t="str">
        <f>AO1&amp;AO2&amp;AO3&amp;AO4</f>
        <v>RoomAirConditionerWithReverseCycleWithoutLouveredSidesGreaterthan14kbtuh</v>
      </c>
      <c r="AR5" t="str">
        <f>AR1&amp;AR2&amp;AR3&amp;AR4</f>
        <v>RoomAirConditionerCasementOnlyAll</v>
      </c>
      <c r="AU5" t="str">
        <f>AU1&amp;AU2&amp;AU3&amp;AU4</f>
        <v>RoomAirConditionerCasementSliderAll</v>
      </c>
    </row>
    <row r="6" spans="1:51" s="35" customFormat="1" ht="30" customHeight="1" x14ac:dyDescent="0.25">
      <c r="A6" s="214" t="s">
        <v>26</v>
      </c>
      <c r="B6" s="42" t="s">
        <v>7</v>
      </c>
      <c r="C6" s="67" t="s">
        <v>45</v>
      </c>
      <c r="D6" s="67" t="s">
        <v>46</v>
      </c>
      <c r="E6" s="42" t="s">
        <v>7</v>
      </c>
      <c r="F6" s="67" t="s">
        <v>45</v>
      </c>
      <c r="G6" s="67" t="s">
        <v>46</v>
      </c>
      <c r="H6" s="42" t="s">
        <v>7</v>
      </c>
      <c r="I6" s="67" t="s">
        <v>45</v>
      </c>
      <c r="J6" s="67" t="s">
        <v>46</v>
      </c>
      <c r="K6" s="42" t="s">
        <v>7</v>
      </c>
      <c r="L6" s="67" t="s">
        <v>45</v>
      </c>
      <c r="M6" s="67" t="s">
        <v>46</v>
      </c>
      <c r="N6" s="42" t="s">
        <v>7</v>
      </c>
      <c r="O6" s="67" t="s">
        <v>45</v>
      </c>
      <c r="P6" s="67" t="s">
        <v>46</v>
      </c>
      <c r="Q6" s="42" t="s">
        <v>7</v>
      </c>
      <c r="R6" s="67" t="s">
        <v>45</v>
      </c>
      <c r="S6" s="67" t="s">
        <v>46</v>
      </c>
      <c r="T6" s="42" t="s">
        <v>7</v>
      </c>
      <c r="U6" s="67" t="s">
        <v>45</v>
      </c>
      <c r="V6" s="67" t="s">
        <v>46</v>
      </c>
      <c r="W6" s="42" t="s">
        <v>7</v>
      </c>
      <c r="X6" s="67" t="s">
        <v>45</v>
      </c>
      <c r="Y6" s="67" t="s">
        <v>46</v>
      </c>
      <c r="Z6" s="42" t="s">
        <v>7</v>
      </c>
      <c r="AA6" s="67" t="s">
        <v>45</v>
      </c>
      <c r="AB6" s="67" t="s">
        <v>46</v>
      </c>
      <c r="AC6" s="42" t="s">
        <v>7</v>
      </c>
      <c r="AD6" s="67" t="s">
        <v>45</v>
      </c>
      <c r="AE6" s="67" t="s">
        <v>46</v>
      </c>
      <c r="AF6" s="42" t="s">
        <v>7</v>
      </c>
      <c r="AG6" s="67" t="s">
        <v>45</v>
      </c>
      <c r="AH6" s="67" t="s">
        <v>46</v>
      </c>
      <c r="AI6" s="42" t="s">
        <v>7</v>
      </c>
      <c r="AJ6" s="67" t="s">
        <v>45</v>
      </c>
      <c r="AK6" s="67" t="s">
        <v>46</v>
      </c>
      <c r="AL6" s="42" t="s">
        <v>7</v>
      </c>
      <c r="AM6" s="67" t="s">
        <v>45</v>
      </c>
      <c r="AN6" s="67" t="s">
        <v>46</v>
      </c>
      <c r="AO6" s="42" t="s">
        <v>7</v>
      </c>
      <c r="AP6" s="67" t="s">
        <v>45</v>
      </c>
      <c r="AQ6" s="67" t="s">
        <v>46</v>
      </c>
      <c r="AR6" s="42" t="s">
        <v>7</v>
      </c>
      <c r="AS6" s="67" t="s">
        <v>45</v>
      </c>
      <c r="AT6" s="67" t="s">
        <v>46</v>
      </c>
      <c r="AU6" s="42" t="s">
        <v>7</v>
      </c>
      <c r="AV6" s="67" t="s">
        <v>45</v>
      </c>
      <c r="AW6" s="67" t="s">
        <v>46</v>
      </c>
      <c r="AX6" s="37"/>
      <c r="AY6" s="213" t="s">
        <v>0</v>
      </c>
    </row>
    <row r="7" spans="1:51" ht="14.25" customHeight="1" x14ac:dyDescent="0.25">
      <c r="A7" s="43" cm="1">
        <f t="array" ref="A7:A37">BaselineRow</f>
        <v>1997</v>
      </c>
      <c r="B7" s="46" t="e">
        <f t="shared" ref="B7:B35" si="0">INDEX(B$36:B$37,MATCH(TRM,$A$36:$A$37,0))</f>
        <v>#N/A</v>
      </c>
      <c r="C7" s="68" t="e">
        <f t="shared" ref="C7:C37" si="1">12/B7</f>
        <v>#N/A</v>
      </c>
      <c r="D7" s="68" t="e">
        <f t="shared" ref="D7:D37" si="2">C7</f>
        <v>#N/A</v>
      </c>
      <c r="E7" s="46" t="e">
        <f>INDEX(E$36:E$37,MATCH(TRM,$A$36:$A$37,0))</f>
        <v>#N/A</v>
      </c>
      <c r="F7" s="68" t="e">
        <f t="shared" ref="F7:F37" si="3">12/E7</f>
        <v>#N/A</v>
      </c>
      <c r="G7" s="68" t="e">
        <f t="shared" ref="G7:G37" si="4">F7</f>
        <v>#N/A</v>
      </c>
      <c r="H7" s="46" t="e">
        <f t="shared" ref="H7:H35" si="5">INDEX(H$36:H$37,MATCH(TRM,$A$36:$A$37,0))</f>
        <v>#N/A</v>
      </c>
      <c r="I7" s="68" t="e">
        <f t="shared" ref="I7:I17" si="6">12/H7</f>
        <v>#N/A</v>
      </c>
      <c r="J7" s="68" t="e">
        <f t="shared" ref="J7:J37" si="7">I7</f>
        <v>#N/A</v>
      </c>
      <c r="K7" s="46" t="e">
        <f t="shared" ref="K7:K35" si="8">INDEX(K$36:K$37,MATCH(TRM,$A$36:$A$37,0))</f>
        <v>#N/A</v>
      </c>
      <c r="L7" s="68" t="e">
        <f t="shared" ref="L7:L37" si="9">12/K7</f>
        <v>#N/A</v>
      </c>
      <c r="M7" s="68" t="e">
        <f t="shared" ref="M7:M37" si="10">L7</f>
        <v>#N/A</v>
      </c>
      <c r="N7" s="46" t="e">
        <f t="shared" ref="N7:N35" si="11">INDEX(N$36:N$37,MATCH(TRM,$A$36:$A$37,0))</f>
        <v>#N/A</v>
      </c>
      <c r="O7" s="68" t="e">
        <f t="shared" ref="O7:O32" si="12">12/N7</f>
        <v>#N/A</v>
      </c>
      <c r="P7" s="68" t="e">
        <f t="shared" ref="P7:P37" si="13">O7</f>
        <v>#N/A</v>
      </c>
      <c r="Q7" s="46" t="e">
        <f t="shared" ref="Q7:Q35" si="14">INDEX(Q$36:Q$37,MATCH(TRM,$A$36:$A$37,0))</f>
        <v>#N/A</v>
      </c>
      <c r="R7" s="68" t="e">
        <f t="shared" ref="R7:R37" si="15">12/Q7</f>
        <v>#N/A</v>
      </c>
      <c r="S7" s="68" t="e">
        <f t="shared" ref="S7:S37" si="16">R7</f>
        <v>#N/A</v>
      </c>
      <c r="T7" s="46" t="e">
        <f t="shared" ref="T7:T35" si="17">INDEX(T$36:T$37,MATCH(TRM,$A$36:$A$37,0))</f>
        <v>#N/A</v>
      </c>
      <c r="U7" s="68" t="e">
        <f t="shared" ref="U7:U32" si="18">12/T7</f>
        <v>#N/A</v>
      </c>
      <c r="V7" s="68" t="e">
        <f t="shared" ref="V7:V37" si="19">U7</f>
        <v>#N/A</v>
      </c>
      <c r="W7" s="46" t="e">
        <f t="shared" ref="W7:W35" si="20">INDEX(W$36:W$37,MATCH(TRM,$A$36:$A$37,0))</f>
        <v>#N/A</v>
      </c>
      <c r="X7" s="68" t="e">
        <f t="shared" ref="X7:X37" si="21">12/W7</f>
        <v>#N/A</v>
      </c>
      <c r="Y7" s="68" t="e">
        <f t="shared" ref="Y7:Y37" si="22">X7</f>
        <v>#N/A</v>
      </c>
      <c r="Z7" s="46" t="e">
        <f t="shared" ref="Z7:Z35" si="23">INDEX(Z$36:Z$37,MATCH(TRM,$A$36:$A$37,0))</f>
        <v>#N/A</v>
      </c>
      <c r="AA7" s="68" t="e">
        <f t="shared" ref="AA7:AA32" si="24">12/Z7</f>
        <v>#N/A</v>
      </c>
      <c r="AB7" s="68" t="e">
        <f t="shared" ref="AB7:AB37" si="25">AA7</f>
        <v>#N/A</v>
      </c>
      <c r="AC7" s="46" t="e">
        <f t="shared" ref="AC7:AC35" si="26">INDEX(AC$36:AC$37,MATCH(TRM,$A$36:$A$37,0))</f>
        <v>#N/A</v>
      </c>
      <c r="AD7" s="68" t="e">
        <f t="shared" ref="AD7:AD32" si="27">12/AC7</f>
        <v>#N/A</v>
      </c>
      <c r="AE7" s="68" t="e">
        <f t="shared" ref="AE7:AE37" si="28">AD7</f>
        <v>#N/A</v>
      </c>
      <c r="AF7" s="46" t="e">
        <f t="shared" ref="AF7:AF35" si="29">INDEX(AF$36:AF$37,MATCH(TRM,$A$36:$A$37,0))</f>
        <v>#N/A</v>
      </c>
      <c r="AG7" s="68" t="e">
        <f t="shared" ref="AG7:AG37" si="30">12/AF7</f>
        <v>#N/A</v>
      </c>
      <c r="AH7" s="68" t="e">
        <f t="shared" ref="AH7:AH37" si="31">AG7</f>
        <v>#N/A</v>
      </c>
      <c r="AI7" s="46" t="e">
        <f t="shared" ref="AI7:AI35" si="32">INDEX(AI$36:AI$37,MATCH(TRM,$A$36:$A$37,0))</f>
        <v>#N/A</v>
      </c>
      <c r="AJ7" s="68" t="e">
        <f t="shared" ref="AJ7:AJ37" si="33">12/AI7</f>
        <v>#N/A</v>
      </c>
      <c r="AK7" s="68" t="e">
        <f t="shared" ref="AK7:AK37" si="34">AJ7</f>
        <v>#N/A</v>
      </c>
      <c r="AL7" s="46" t="e">
        <f t="shared" ref="AL7:AL35" si="35">INDEX(AL$36:AL$37,MATCH(TRM,$A$36:$A$37,0))</f>
        <v>#N/A</v>
      </c>
      <c r="AM7" s="68" t="e">
        <f t="shared" ref="AM7:AM37" si="36">12/AL7</f>
        <v>#N/A</v>
      </c>
      <c r="AN7" s="68" t="e">
        <f t="shared" ref="AN7:AN37" si="37">AM7</f>
        <v>#N/A</v>
      </c>
      <c r="AO7" s="46" t="e">
        <f t="shared" ref="AO7:AO35" si="38">INDEX(AO$36:AO$37,MATCH(TRM,$A$36:$A$37,0))</f>
        <v>#N/A</v>
      </c>
      <c r="AP7" s="68" t="e">
        <f t="shared" ref="AP7:AP32" si="39">12/AO7</f>
        <v>#N/A</v>
      </c>
      <c r="AQ7" s="68" t="e">
        <f t="shared" ref="AQ7:AQ37" si="40">AP7</f>
        <v>#N/A</v>
      </c>
      <c r="AR7" s="46" t="e">
        <f t="shared" ref="AR7:AR35" si="41">INDEX(AR$36:AR$37,MATCH(TRM,$A$36:$A$37,0))</f>
        <v>#N/A</v>
      </c>
      <c r="AS7" s="68" t="e">
        <f t="shared" ref="AS7:AS32" si="42">12/AR7</f>
        <v>#N/A</v>
      </c>
      <c r="AT7" s="68" t="e">
        <f t="shared" ref="AT7:AT37" si="43">AS7</f>
        <v>#N/A</v>
      </c>
      <c r="AU7" s="46" t="e">
        <f t="shared" ref="AU7:AU35" si="44">INDEX(AU$36:AU$37,MATCH(TRM,$A$36:$A$37,0))</f>
        <v>#N/A</v>
      </c>
      <c r="AV7" s="68" t="e">
        <f t="shared" ref="AV7:AV32" si="45">12/AU7</f>
        <v>#N/A</v>
      </c>
      <c r="AW7" s="68" t="e">
        <f t="shared" ref="AW7:AW37" si="46">AV7</f>
        <v>#N/A</v>
      </c>
      <c r="AX7" s="37"/>
      <c r="AY7" s="44"/>
    </row>
    <row r="8" spans="1:51" ht="14.25" customHeight="1" x14ac:dyDescent="0.25">
      <c r="A8" s="43">
        <v>1998</v>
      </c>
      <c r="B8" s="46" t="e">
        <f t="shared" si="0"/>
        <v>#N/A</v>
      </c>
      <c r="C8" s="68" t="e">
        <f t="shared" si="1"/>
        <v>#N/A</v>
      </c>
      <c r="D8" s="68" t="e">
        <f t="shared" si="2"/>
        <v>#N/A</v>
      </c>
      <c r="E8" s="46" t="e">
        <f t="shared" ref="E8:E35" si="47">INDEX(E$36:E$37,MATCH(TRM,$A$36:$A$37,0))</f>
        <v>#N/A</v>
      </c>
      <c r="F8" s="68" t="e">
        <f t="shared" si="3"/>
        <v>#N/A</v>
      </c>
      <c r="G8" s="68" t="e">
        <f t="shared" si="4"/>
        <v>#N/A</v>
      </c>
      <c r="H8" s="46" t="e">
        <f t="shared" si="5"/>
        <v>#N/A</v>
      </c>
      <c r="I8" s="68" t="e">
        <f t="shared" si="6"/>
        <v>#N/A</v>
      </c>
      <c r="J8" s="68" t="e">
        <f t="shared" si="7"/>
        <v>#N/A</v>
      </c>
      <c r="K8" s="46" t="e">
        <f t="shared" si="8"/>
        <v>#N/A</v>
      </c>
      <c r="L8" s="68" t="e">
        <f t="shared" si="9"/>
        <v>#N/A</v>
      </c>
      <c r="M8" s="68" t="e">
        <f t="shared" si="10"/>
        <v>#N/A</v>
      </c>
      <c r="N8" s="46" t="e">
        <f t="shared" si="11"/>
        <v>#N/A</v>
      </c>
      <c r="O8" s="68" t="e">
        <f t="shared" si="12"/>
        <v>#N/A</v>
      </c>
      <c r="P8" s="68" t="e">
        <f t="shared" si="13"/>
        <v>#N/A</v>
      </c>
      <c r="Q8" s="46" t="e">
        <f t="shared" si="14"/>
        <v>#N/A</v>
      </c>
      <c r="R8" s="68" t="e">
        <f t="shared" si="15"/>
        <v>#N/A</v>
      </c>
      <c r="S8" s="68" t="e">
        <f t="shared" si="16"/>
        <v>#N/A</v>
      </c>
      <c r="T8" s="46" t="e">
        <f t="shared" si="17"/>
        <v>#N/A</v>
      </c>
      <c r="U8" s="68" t="e">
        <f t="shared" si="18"/>
        <v>#N/A</v>
      </c>
      <c r="V8" s="68" t="e">
        <f t="shared" si="19"/>
        <v>#N/A</v>
      </c>
      <c r="W8" s="46" t="e">
        <f t="shared" si="20"/>
        <v>#N/A</v>
      </c>
      <c r="X8" s="68" t="e">
        <f t="shared" si="21"/>
        <v>#N/A</v>
      </c>
      <c r="Y8" s="68" t="e">
        <f t="shared" si="22"/>
        <v>#N/A</v>
      </c>
      <c r="Z8" s="46" t="e">
        <f t="shared" si="23"/>
        <v>#N/A</v>
      </c>
      <c r="AA8" s="68" t="e">
        <f t="shared" si="24"/>
        <v>#N/A</v>
      </c>
      <c r="AB8" s="68" t="e">
        <f t="shared" si="25"/>
        <v>#N/A</v>
      </c>
      <c r="AC8" s="46" t="e">
        <f t="shared" si="26"/>
        <v>#N/A</v>
      </c>
      <c r="AD8" s="68" t="e">
        <f t="shared" si="27"/>
        <v>#N/A</v>
      </c>
      <c r="AE8" s="68" t="e">
        <f t="shared" si="28"/>
        <v>#N/A</v>
      </c>
      <c r="AF8" s="46" t="e">
        <f t="shared" si="29"/>
        <v>#N/A</v>
      </c>
      <c r="AG8" s="68" t="e">
        <f t="shared" si="30"/>
        <v>#N/A</v>
      </c>
      <c r="AH8" s="68" t="e">
        <f t="shared" si="31"/>
        <v>#N/A</v>
      </c>
      <c r="AI8" s="46" t="e">
        <f t="shared" si="32"/>
        <v>#N/A</v>
      </c>
      <c r="AJ8" s="68" t="e">
        <f t="shared" si="33"/>
        <v>#N/A</v>
      </c>
      <c r="AK8" s="68" t="e">
        <f t="shared" si="34"/>
        <v>#N/A</v>
      </c>
      <c r="AL8" s="46" t="e">
        <f t="shared" si="35"/>
        <v>#N/A</v>
      </c>
      <c r="AM8" s="68" t="e">
        <f t="shared" si="36"/>
        <v>#N/A</v>
      </c>
      <c r="AN8" s="68" t="e">
        <f t="shared" si="37"/>
        <v>#N/A</v>
      </c>
      <c r="AO8" s="46" t="e">
        <f t="shared" si="38"/>
        <v>#N/A</v>
      </c>
      <c r="AP8" s="68" t="e">
        <f t="shared" si="39"/>
        <v>#N/A</v>
      </c>
      <c r="AQ8" s="68" t="e">
        <f t="shared" si="40"/>
        <v>#N/A</v>
      </c>
      <c r="AR8" s="46" t="e">
        <f t="shared" si="41"/>
        <v>#N/A</v>
      </c>
      <c r="AS8" s="68" t="e">
        <f t="shared" si="42"/>
        <v>#N/A</v>
      </c>
      <c r="AT8" s="68" t="e">
        <f t="shared" si="43"/>
        <v>#N/A</v>
      </c>
      <c r="AU8" s="46" t="e">
        <f t="shared" si="44"/>
        <v>#N/A</v>
      </c>
      <c r="AV8" s="68" t="e">
        <f t="shared" si="45"/>
        <v>#N/A</v>
      </c>
      <c r="AW8" s="68" t="e">
        <f t="shared" si="46"/>
        <v>#N/A</v>
      </c>
      <c r="AX8" s="37"/>
      <c r="AY8" s="44"/>
    </row>
    <row r="9" spans="1:51" ht="14.25" customHeight="1" x14ac:dyDescent="0.25">
      <c r="A9" s="43">
        <v>1999</v>
      </c>
      <c r="B9" s="46" t="e">
        <f t="shared" si="0"/>
        <v>#N/A</v>
      </c>
      <c r="C9" s="68" t="e">
        <f t="shared" si="1"/>
        <v>#N/A</v>
      </c>
      <c r="D9" s="68" t="e">
        <f t="shared" si="2"/>
        <v>#N/A</v>
      </c>
      <c r="E9" s="46" t="e">
        <f t="shared" si="47"/>
        <v>#N/A</v>
      </c>
      <c r="F9" s="68" t="e">
        <f t="shared" ref="F9:F35" si="48">12/E9</f>
        <v>#N/A</v>
      </c>
      <c r="G9" s="68" t="e">
        <f t="shared" ref="G9:G35" si="49">F9</f>
        <v>#N/A</v>
      </c>
      <c r="H9" s="46" t="e">
        <f t="shared" si="5"/>
        <v>#N/A</v>
      </c>
      <c r="I9" s="68" t="e">
        <f t="shared" si="6"/>
        <v>#N/A</v>
      </c>
      <c r="J9" s="68" t="e">
        <f t="shared" si="7"/>
        <v>#N/A</v>
      </c>
      <c r="K9" s="46" t="e">
        <f t="shared" si="8"/>
        <v>#N/A</v>
      </c>
      <c r="L9" s="68" t="e">
        <f t="shared" si="9"/>
        <v>#N/A</v>
      </c>
      <c r="M9" s="68" t="e">
        <f t="shared" si="10"/>
        <v>#N/A</v>
      </c>
      <c r="N9" s="46" t="e">
        <f t="shared" si="11"/>
        <v>#N/A</v>
      </c>
      <c r="O9" s="68" t="e">
        <f t="shared" si="12"/>
        <v>#N/A</v>
      </c>
      <c r="P9" s="68" t="e">
        <f t="shared" si="13"/>
        <v>#N/A</v>
      </c>
      <c r="Q9" s="46" t="e">
        <f t="shared" si="14"/>
        <v>#N/A</v>
      </c>
      <c r="R9" s="68" t="e">
        <f t="shared" si="15"/>
        <v>#N/A</v>
      </c>
      <c r="S9" s="68" t="e">
        <f t="shared" si="16"/>
        <v>#N/A</v>
      </c>
      <c r="T9" s="46" t="e">
        <f t="shared" si="17"/>
        <v>#N/A</v>
      </c>
      <c r="U9" s="68" t="e">
        <f t="shared" si="18"/>
        <v>#N/A</v>
      </c>
      <c r="V9" s="68" t="e">
        <f t="shared" si="19"/>
        <v>#N/A</v>
      </c>
      <c r="W9" s="46" t="e">
        <f t="shared" si="20"/>
        <v>#N/A</v>
      </c>
      <c r="X9" s="68" t="e">
        <f t="shared" si="21"/>
        <v>#N/A</v>
      </c>
      <c r="Y9" s="68" t="e">
        <f t="shared" si="22"/>
        <v>#N/A</v>
      </c>
      <c r="Z9" s="46" t="e">
        <f t="shared" si="23"/>
        <v>#N/A</v>
      </c>
      <c r="AA9" s="68" t="e">
        <f t="shared" si="24"/>
        <v>#N/A</v>
      </c>
      <c r="AB9" s="68" t="e">
        <f t="shared" si="25"/>
        <v>#N/A</v>
      </c>
      <c r="AC9" s="46" t="e">
        <f t="shared" si="26"/>
        <v>#N/A</v>
      </c>
      <c r="AD9" s="68" t="e">
        <f t="shared" si="27"/>
        <v>#N/A</v>
      </c>
      <c r="AE9" s="68" t="e">
        <f t="shared" si="28"/>
        <v>#N/A</v>
      </c>
      <c r="AF9" s="46" t="e">
        <f t="shared" si="29"/>
        <v>#N/A</v>
      </c>
      <c r="AG9" s="68" t="e">
        <f t="shared" si="30"/>
        <v>#N/A</v>
      </c>
      <c r="AH9" s="68" t="e">
        <f t="shared" si="31"/>
        <v>#N/A</v>
      </c>
      <c r="AI9" s="46" t="e">
        <f t="shared" si="32"/>
        <v>#N/A</v>
      </c>
      <c r="AJ9" s="68" t="e">
        <f t="shared" si="33"/>
        <v>#N/A</v>
      </c>
      <c r="AK9" s="68" t="e">
        <f t="shared" si="34"/>
        <v>#N/A</v>
      </c>
      <c r="AL9" s="46" t="e">
        <f t="shared" si="35"/>
        <v>#N/A</v>
      </c>
      <c r="AM9" s="68" t="e">
        <f t="shared" si="36"/>
        <v>#N/A</v>
      </c>
      <c r="AN9" s="68" t="e">
        <f t="shared" si="37"/>
        <v>#N/A</v>
      </c>
      <c r="AO9" s="46" t="e">
        <f t="shared" si="38"/>
        <v>#N/A</v>
      </c>
      <c r="AP9" s="68" t="e">
        <f t="shared" si="39"/>
        <v>#N/A</v>
      </c>
      <c r="AQ9" s="68" t="e">
        <f t="shared" si="40"/>
        <v>#N/A</v>
      </c>
      <c r="AR9" s="46" t="e">
        <f t="shared" si="41"/>
        <v>#N/A</v>
      </c>
      <c r="AS9" s="68" t="e">
        <f t="shared" si="42"/>
        <v>#N/A</v>
      </c>
      <c r="AT9" s="68" t="e">
        <f t="shared" si="43"/>
        <v>#N/A</v>
      </c>
      <c r="AU9" s="46" t="e">
        <f t="shared" si="44"/>
        <v>#N/A</v>
      </c>
      <c r="AV9" s="68" t="e">
        <f t="shared" si="45"/>
        <v>#N/A</v>
      </c>
      <c r="AW9" s="68" t="e">
        <f t="shared" si="46"/>
        <v>#N/A</v>
      </c>
      <c r="AX9" s="37"/>
      <c r="AY9" s="44"/>
    </row>
    <row r="10" spans="1:51" ht="14.25" customHeight="1" x14ac:dyDescent="0.25">
      <c r="A10" s="43">
        <v>2000</v>
      </c>
      <c r="B10" s="46" t="e">
        <f t="shared" si="0"/>
        <v>#N/A</v>
      </c>
      <c r="C10" s="68" t="e">
        <f t="shared" si="1"/>
        <v>#N/A</v>
      </c>
      <c r="D10" s="68" t="e">
        <f t="shared" si="2"/>
        <v>#N/A</v>
      </c>
      <c r="E10" s="46" t="e">
        <f t="shared" si="47"/>
        <v>#N/A</v>
      </c>
      <c r="F10" s="68" t="e">
        <f t="shared" si="48"/>
        <v>#N/A</v>
      </c>
      <c r="G10" s="68" t="e">
        <f t="shared" si="49"/>
        <v>#N/A</v>
      </c>
      <c r="H10" s="46" t="e">
        <f t="shared" si="5"/>
        <v>#N/A</v>
      </c>
      <c r="I10" s="68" t="e">
        <f t="shared" si="6"/>
        <v>#N/A</v>
      </c>
      <c r="J10" s="68" t="e">
        <f t="shared" si="7"/>
        <v>#N/A</v>
      </c>
      <c r="K10" s="46" t="e">
        <f t="shared" si="8"/>
        <v>#N/A</v>
      </c>
      <c r="L10" s="68" t="e">
        <f t="shared" si="9"/>
        <v>#N/A</v>
      </c>
      <c r="M10" s="68" t="e">
        <f t="shared" si="10"/>
        <v>#N/A</v>
      </c>
      <c r="N10" s="46" t="e">
        <f t="shared" si="11"/>
        <v>#N/A</v>
      </c>
      <c r="O10" s="68" t="e">
        <f t="shared" si="12"/>
        <v>#N/A</v>
      </c>
      <c r="P10" s="68" t="e">
        <f t="shared" si="13"/>
        <v>#N/A</v>
      </c>
      <c r="Q10" s="46" t="e">
        <f t="shared" si="14"/>
        <v>#N/A</v>
      </c>
      <c r="R10" s="68" t="e">
        <f t="shared" si="15"/>
        <v>#N/A</v>
      </c>
      <c r="S10" s="68" t="e">
        <f t="shared" si="16"/>
        <v>#N/A</v>
      </c>
      <c r="T10" s="46" t="e">
        <f t="shared" si="17"/>
        <v>#N/A</v>
      </c>
      <c r="U10" s="68" t="e">
        <f t="shared" si="18"/>
        <v>#N/A</v>
      </c>
      <c r="V10" s="68" t="e">
        <f t="shared" si="19"/>
        <v>#N/A</v>
      </c>
      <c r="W10" s="46" t="e">
        <f t="shared" si="20"/>
        <v>#N/A</v>
      </c>
      <c r="X10" s="68" t="e">
        <f t="shared" si="21"/>
        <v>#N/A</v>
      </c>
      <c r="Y10" s="68" t="e">
        <f t="shared" si="22"/>
        <v>#N/A</v>
      </c>
      <c r="Z10" s="46" t="e">
        <f t="shared" si="23"/>
        <v>#N/A</v>
      </c>
      <c r="AA10" s="68" t="e">
        <f t="shared" si="24"/>
        <v>#N/A</v>
      </c>
      <c r="AB10" s="68" t="e">
        <f t="shared" si="25"/>
        <v>#N/A</v>
      </c>
      <c r="AC10" s="46" t="e">
        <f t="shared" si="26"/>
        <v>#N/A</v>
      </c>
      <c r="AD10" s="68" t="e">
        <f t="shared" si="27"/>
        <v>#N/A</v>
      </c>
      <c r="AE10" s="68" t="e">
        <f t="shared" si="28"/>
        <v>#N/A</v>
      </c>
      <c r="AF10" s="46" t="e">
        <f t="shared" si="29"/>
        <v>#N/A</v>
      </c>
      <c r="AG10" s="68" t="e">
        <f t="shared" si="30"/>
        <v>#N/A</v>
      </c>
      <c r="AH10" s="68" t="e">
        <f t="shared" si="31"/>
        <v>#N/A</v>
      </c>
      <c r="AI10" s="46" t="e">
        <f t="shared" si="32"/>
        <v>#N/A</v>
      </c>
      <c r="AJ10" s="68" t="e">
        <f t="shared" si="33"/>
        <v>#N/A</v>
      </c>
      <c r="AK10" s="68" t="e">
        <f t="shared" si="34"/>
        <v>#N/A</v>
      </c>
      <c r="AL10" s="46" t="e">
        <f t="shared" si="35"/>
        <v>#N/A</v>
      </c>
      <c r="AM10" s="68" t="e">
        <f t="shared" si="36"/>
        <v>#N/A</v>
      </c>
      <c r="AN10" s="68" t="e">
        <f t="shared" si="37"/>
        <v>#N/A</v>
      </c>
      <c r="AO10" s="46" t="e">
        <f t="shared" si="38"/>
        <v>#N/A</v>
      </c>
      <c r="AP10" s="68" t="e">
        <f t="shared" si="39"/>
        <v>#N/A</v>
      </c>
      <c r="AQ10" s="68" t="e">
        <f t="shared" si="40"/>
        <v>#N/A</v>
      </c>
      <c r="AR10" s="46" t="e">
        <f t="shared" si="41"/>
        <v>#N/A</v>
      </c>
      <c r="AS10" s="68" t="e">
        <f t="shared" si="42"/>
        <v>#N/A</v>
      </c>
      <c r="AT10" s="68" t="e">
        <f t="shared" si="43"/>
        <v>#N/A</v>
      </c>
      <c r="AU10" s="46" t="e">
        <f t="shared" si="44"/>
        <v>#N/A</v>
      </c>
      <c r="AV10" s="68" t="e">
        <f t="shared" si="45"/>
        <v>#N/A</v>
      </c>
      <c r="AW10" s="68" t="e">
        <f t="shared" si="46"/>
        <v>#N/A</v>
      </c>
      <c r="AX10" s="37"/>
      <c r="AY10" s="44"/>
    </row>
    <row r="11" spans="1:51" ht="14.25" customHeight="1" x14ac:dyDescent="0.25">
      <c r="A11" s="43">
        <v>2001</v>
      </c>
      <c r="B11" s="46" t="e">
        <f t="shared" si="0"/>
        <v>#N/A</v>
      </c>
      <c r="C11" s="68" t="e">
        <f t="shared" si="1"/>
        <v>#N/A</v>
      </c>
      <c r="D11" s="68" t="e">
        <f t="shared" si="2"/>
        <v>#N/A</v>
      </c>
      <c r="E11" s="46" t="e">
        <f t="shared" si="47"/>
        <v>#N/A</v>
      </c>
      <c r="F11" s="68" t="e">
        <f t="shared" si="48"/>
        <v>#N/A</v>
      </c>
      <c r="G11" s="68" t="e">
        <f t="shared" si="49"/>
        <v>#N/A</v>
      </c>
      <c r="H11" s="46" t="e">
        <f t="shared" si="5"/>
        <v>#N/A</v>
      </c>
      <c r="I11" s="68" t="e">
        <f t="shared" si="6"/>
        <v>#N/A</v>
      </c>
      <c r="J11" s="68" t="e">
        <f t="shared" si="7"/>
        <v>#N/A</v>
      </c>
      <c r="K11" s="46" t="e">
        <f t="shared" si="8"/>
        <v>#N/A</v>
      </c>
      <c r="L11" s="68" t="e">
        <f t="shared" si="9"/>
        <v>#N/A</v>
      </c>
      <c r="M11" s="68" t="e">
        <f t="shared" si="10"/>
        <v>#N/A</v>
      </c>
      <c r="N11" s="46" t="e">
        <f t="shared" si="11"/>
        <v>#N/A</v>
      </c>
      <c r="O11" s="68" t="e">
        <f t="shared" si="12"/>
        <v>#N/A</v>
      </c>
      <c r="P11" s="68" t="e">
        <f t="shared" si="13"/>
        <v>#N/A</v>
      </c>
      <c r="Q11" s="46" t="e">
        <f t="shared" si="14"/>
        <v>#N/A</v>
      </c>
      <c r="R11" s="68" t="e">
        <f t="shared" si="15"/>
        <v>#N/A</v>
      </c>
      <c r="S11" s="68" t="e">
        <f t="shared" si="16"/>
        <v>#N/A</v>
      </c>
      <c r="T11" s="46" t="e">
        <f t="shared" si="17"/>
        <v>#N/A</v>
      </c>
      <c r="U11" s="68" t="e">
        <f t="shared" si="18"/>
        <v>#N/A</v>
      </c>
      <c r="V11" s="68" t="e">
        <f t="shared" si="19"/>
        <v>#N/A</v>
      </c>
      <c r="W11" s="46" t="e">
        <f t="shared" si="20"/>
        <v>#N/A</v>
      </c>
      <c r="X11" s="68" t="e">
        <f t="shared" si="21"/>
        <v>#N/A</v>
      </c>
      <c r="Y11" s="68" t="e">
        <f t="shared" si="22"/>
        <v>#N/A</v>
      </c>
      <c r="Z11" s="46" t="e">
        <f t="shared" si="23"/>
        <v>#N/A</v>
      </c>
      <c r="AA11" s="68" t="e">
        <f t="shared" si="24"/>
        <v>#N/A</v>
      </c>
      <c r="AB11" s="68" t="e">
        <f t="shared" si="25"/>
        <v>#N/A</v>
      </c>
      <c r="AC11" s="46" t="e">
        <f t="shared" si="26"/>
        <v>#N/A</v>
      </c>
      <c r="AD11" s="68" t="e">
        <f t="shared" si="27"/>
        <v>#N/A</v>
      </c>
      <c r="AE11" s="68" t="e">
        <f t="shared" si="28"/>
        <v>#N/A</v>
      </c>
      <c r="AF11" s="46" t="e">
        <f t="shared" si="29"/>
        <v>#N/A</v>
      </c>
      <c r="AG11" s="68" t="e">
        <f t="shared" si="30"/>
        <v>#N/A</v>
      </c>
      <c r="AH11" s="68" t="e">
        <f t="shared" si="31"/>
        <v>#N/A</v>
      </c>
      <c r="AI11" s="46" t="e">
        <f t="shared" si="32"/>
        <v>#N/A</v>
      </c>
      <c r="AJ11" s="68" t="e">
        <f t="shared" si="33"/>
        <v>#N/A</v>
      </c>
      <c r="AK11" s="68" t="e">
        <f t="shared" si="34"/>
        <v>#N/A</v>
      </c>
      <c r="AL11" s="46" t="e">
        <f t="shared" si="35"/>
        <v>#N/A</v>
      </c>
      <c r="AM11" s="68" t="e">
        <f t="shared" si="36"/>
        <v>#N/A</v>
      </c>
      <c r="AN11" s="68" t="e">
        <f t="shared" si="37"/>
        <v>#N/A</v>
      </c>
      <c r="AO11" s="46" t="e">
        <f t="shared" si="38"/>
        <v>#N/A</v>
      </c>
      <c r="AP11" s="68" t="e">
        <f t="shared" si="39"/>
        <v>#N/A</v>
      </c>
      <c r="AQ11" s="68" t="e">
        <f t="shared" si="40"/>
        <v>#N/A</v>
      </c>
      <c r="AR11" s="46" t="e">
        <f t="shared" si="41"/>
        <v>#N/A</v>
      </c>
      <c r="AS11" s="68" t="e">
        <f t="shared" si="42"/>
        <v>#N/A</v>
      </c>
      <c r="AT11" s="68" t="e">
        <f t="shared" si="43"/>
        <v>#N/A</v>
      </c>
      <c r="AU11" s="46" t="e">
        <f t="shared" si="44"/>
        <v>#N/A</v>
      </c>
      <c r="AV11" s="68" t="e">
        <f t="shared" si="45"/>
        <v>#N/A</v>
      </c>
      <c r="AW11" s="68" t="e">
        <f t="shared" si="46"/>
        <v>#N/A</v>
      </c>
      <c r="AX11" s="37"/>
      <c r="AY11" s="44"/>
    </row>
    <row r="12" spans="1:51" ht="14.25" customHeight="1" x14ac:dyDescent="0.25">
      <c r="A12" s="43">
        <v>2002</v>
      </c>
      <c r="B12" s="46" t="e">
        <f t="shared" si="0"/>
        <v>#N/A</v>
      </c>
      <c r="C12" s="68" t="e">
        <f t="shared" si="1"/>
        <v>#N/A</v>
      </c>
      <c r="D12" s="68" t="e">
        <f t="shared" si="2"/>
        <v>#N/A</v>
      </c>
      <c r="E12" s="46" t="e">
        <f t="shared" si="47"/>
        <v>#N/A</v>
      </c>
      <c r="F12" s="68" t="e">
        <f t="shared" si="48"/>
        <v>#N/A</v>
      </c>
      <c r="G12" s="68" t="e">
        <f t="shared" si="49"/>
        <v>#N/A</v>
      </c>
      <c r="H12" s="46" t="e">
        <f t="shared" si="5"/>
        <v>#N/A</v>
      </c>
      <c r="I12" s="68" t="e">
        <f t="shared" si="6"/>
        <v>#N/A</v>
      </c>
      <c r="J12" s="68" t="e">
        <f t="shared" si="7"/>
        <v>#N/A</v>
      </c>
      <c r="K12" s="46" t="e">
        <f t="shared" si="8"/>
        <v>#N/A</v>
      </c>
      <c r="L12" s="68" t="e">
        <f t="shared" si="9"/>
        <v>#N/A</v>
      </c>
      <c r="M12" s="68" t="e">
        <f t="shared" si="10"/>
        <v>#N/A</v>
      </c>
      <c r="N12" s="46" t="e">
        <f t="shared" si="11"/>
        <v>#N/A</v>
      </c>
      <c r="O12" s="68" t="e">
        <f t="shared" si="12"/>
        <v>#N/A</v>
      </c>
      <c r="P12" s="68" t="e">
        <f t="shared" si="13"/>
        <v>#N/A</v>
      </c>
      <c r="Q12" s="46" t="e">
        <f t="shared" si="14"/>
        <v>#N/A</v>
      </c>
      <c r="R12" s="68" t="e">
        <f t="shared" si="15"/>
        <v>#N/A</v>
      </c>
      <c r="S12" s="68" t="e">
        <f t="shared" si="16"/>
        <v>#N/A</v>
      </c>
      <c r="T12" s="46" t="e">
        <f t="shared" si="17"/>
        <v>#N/A</v>
      </c>
      <c r="U12" s="68" t="e">
        <f t="shared" si="18"/>
        <v>#N/A</v>
      </c>
      <c r="V12" s="68" t="e">
        <f t="shared" si="19"/>
        <v>#N/A</v>
      </c>
      <c r="W12" s="46" t="e">
        <f t="shared" si="20"/>
        <v>#N/A</v>
      </c>
      <c r="X12" s="68" t="e">
        <f t="shared" si="21"/>
        <v>#N/A</v>
      </c>
      <c r="Y12" s="68" t="e">
        <f t="shared" si="22"/>
        <v>#N/A</v>
      </c>
      <c r="Z12" s="46" t="e">
        <f t="shared" si="23"/>
        <v>#N/A</v>
      </c>
      <c r="AA12" s="68" t="e">
        <f t="shared" si="24"/>
        <v>#N/A</v>
      </c>
      <c r="AB12" s="68" t="e">
        <f t="shared" si="25"/>
        <v>#N/A</v>
      </c>
      <c r="AC12" s="46" t="e">
        <f t="shared" si="26"/>
        <v>#N/A</v>
      </c>
      <c r="AD12" s="68" t="e">
        <f t="shared" si="27"/>
        <v>#N/A</v>
      </c>
      <c r="AE12" s="68" t="e">
        <f t="shared" si="28"/>
        <v>#N/A</v>
      </c>
      <c r="AF12" s="46" t="e">
        <f t="shared" si="29"/>
        <v>#N/A</v>
      </c>
      <c r="AG12" s="68" t="e">
        <f t="shared" si="30"/>
        <v>#N/A</v>
      </c>
      <c r="AH12" s="68" t="e">
        <f t="shared" si="31"/>
        <v>#N/A</v>
      </c>
      <c r="AI12" s="46" t="e">
        <f t="shared" si="32"/>
        <v>#N/A</v>
      </c>
      <c r="AJ12" s="68" t="e">
        <f t="shared" si="33"/>
        <v>#N/A</v>
      </c>
      <c r="AK12" s="68" t="e">
        <f t="shared" si="34"/>
        <v>#N/A</v>
      </c>
      <c r="AL12" s="46" t="e">
        <f t="shared" si="35"/>
        <v>#N/A</v>
      </c>
      <c r="AM12" s="68" t="e">
        <f t="shared" si="36"/>
        <v>#N/A</v>
      </c>
      <c r="AN12" s="68" t="e">
        <f t="shared" si="37"/>
        <v>#N/A</v>
      </c>
      <c r="AO12" s="46" t="e">
        <f t="shared" si="38"/>
        <v>#N/A</v>
      </c>
      <c r="AP12" s="68" t="e">
        <f t="shared" si="39"/>
        <v>#N/A</v>
      </c>
      <c r="AQ12" s="68" t="e">
        <f t="shared" si="40"/>
        <v>#N/A</v>
      </c>
      <c r="AR12" s="46" t="e">
        <f t="shared" si="41"/>
        <v>#N/A</v>
      </c>
      <c r="AS12" s="68" t="e">
        <f t="shared" si="42"/>
        <v>#N/A</v>
      </c>
      <c r="AT12" s="68" t="e">
        <f t="shared" si="43"/>
        <v>#N/A</v>
      </c>
      <c r="AU12" s="46" t="e">
        <f t="shared" si="44"/>
        <v>#N/A</v>
      </c>
      <c r="AV12" s="68" t="e">
        <f t="shared" si="45"/>
        <v>#N/A</v>
      </c>
      <c r="AW12" s="68" t="e">
        <f t="shared" si="46"/>
        <v>#N/A</v>
      </c>
      <c r="AX12" s="37"/>
      <c r="AY12" s="44"/>
    </row>
    <row r="13" spans="1:51" ht="14.25" customHeight="1" x14ac:dyDescent="0.25">
      <c r="A13" s="43">
        <v>2003</v>
      </c>
      <c r="B13" s="46" t="e">
        <f t="shared" si="0"/>
        <v>#N/A</v>
      </c>
      <c r="C13" s="68" t="e">
        <f t="shared" si="1"/>
        <v>#N/A</v>
      </c>
      <c r="D13" s="68" t="e">
        <f t="shared" si="2"/>
        <v>#N/A</v>
      </c>
      <c r="E13" s="46" t="e">
        <f t="shared" si="47"/>
        <v>#N/A</v>
      </c>
      <c r="F13" s="68" t="e">
        <f t="shared" si="48"/>
        <v>#N/A</v>
      </c>
      <c r="G13" s="68" t="e">
        <f t="shared" si="49"/>
        <v>#N/A</v>
      </c>
      <c r="H13" s="46" t="e">
        <f t="shared" si="5"/>
        <v>#N/A</v>
      </c>
      <c r="I13" s="68" t="e">
        <f t="shared" si="6"/>
        <v>#N/A</v>
      </c>
      <c r="J13" s="68" t="e">
        <f t="shared" si="7"/>
        <v>#N/A</v>
      </c>
      <c r="K13" s="46" t="e">
        <f t="shared" si="8"/>
        <v>#N/A</v>
      </c>
      <c r="L13" s="68" t="e">
        <f t="shared" si="9"/>
        <v>#N/A</v>
      </c>
      <c r="M13" s="68" t="e">
        <f t="shared" si="10"/>
        <v>#N/A</v>
      </c>
      <c r="N13" s="46" t="e">
        <f t="shared" si="11"/>
        <v>#N/A</v>
      </c>
      <c r="O13" s="68" t="e">
        <f t="shared" si="12"/>
        <v>#N/A</v>
      </c>
      <c r="P13" s="68" t="e">
        <f t="shared" si="13"/>
        <v>#N/A</v>
      </c>
      <c r="Q13" s="46" t="e">
        <f t="shared" si="14"/>
        <v>#N/A</v>
      </c>
      <c r="R13" s="68" t="e">
        <f t="shared" si="15"/>
        <v>#N/A</v>
      </c>
      <c r="S13" s="68" t="e">
        <f t="shared" si="16"/>
        <v>#N/A</v>
      </c>
      <c r="T13" s="46" t="e">
        <f t="shared" si="17"/>
        <v>#N/A</v>
      </c>
      <c r="U13" s="68" t="e">
        <f t="shared" si="18"/>
        <v>#N/A</v>
      </c>
      <c r="V13" s="68" t="e">
        <f t="shared" si="19"/>
        <v>#N/A</v>
      </c>
      <c r="W13" s="46" t="e">
        <f t="shared" si="20"/>
        <v>#N/A</v>
      </c>
      <c r="X13" s="68" t="e">
        <f t="shared" si="21"/>
        <v>#N/A</v>
      </c>
      <c r="Y13" s="68" t="e">
        <f t="shared" si="22"/>
        <v>#N/A</v>
      </c>
      <c r="Z13" s="46" t="e">
        <f t="shared" si="23"/>
        <v>#N/A</v>
      </c>
      <c r="AA13" s="68" t="e">
        <f t="shared" si="24"/>
        <v>#N/A</v>
      </c>
      <c r="AB13" s="68" t="e">
        <f t="shared" si="25"/>
        <v>#N/A</v>
      </c>
      <c r="AC13" s="46" t="e">
        <f t="shared" si="26"/>
        <v>#N/A</v>
      </c>
      <c r="AD13" s="68" t="e">
        <f t="shared" si="27"/>
        <v>#N/A</v>
      </c>
      <c r="AE13" s="68" t="e">
        <f t="shared" si="28"/>
        <v>#N/A</v>
      </c>
      <c r="AF13" s="46" t="e">
        <f t="shared" si="29"/>
        <v>#N/A</v>
      </c>
      <c r="AG13" s="68" t="e">
        <f t="shared" si="30"/>
        <v>#N/A</v>
      </c>
      <c r="AH13" s="68" t="e">
        <f t="shared" si="31"/>
        <v>#N/A</v>
      </c>
      <c r="AI13" s="46" t="e">
        <f t="shared" si="32"/>
        <v>#N/A</v>
      </c>
      <c r="AJ13" s="68" t="e">
        <f t="shared" si="33"/>
        <v>#N/A</v>
      </c>
      <c r="AK13" s="68" t="e">
        <f t="shared" si="34"/>
        <v>#N/A</v>
      </c>
      <c r="AL13" s="46" t="e">
        <f t="shared" si="35"/>
        <v>#N/A</v>
      </c>
      <c r="AM13" s="68" t="e">
        <f t="shared" si="36"/>
        <v>#N/A</v>
      </c>
      <c r="AN13" s="68" t="e">
        <f t="shared" si="37"/>
        <v>#N/A</v>
      </c>
      <c r="AO13" s="46" t="e">
        <f t="shared" si="38"/>
        <v>#N/A</v>
      </c>
      <c r="AP13" s="68" t="e">
        <f t="shared" si="39"/>
        <v>#N/A</v>
      </c>
      <c r="AQ13" s="68" t="e">
        <f t="shared" si="40"/>
        <v>#N/A</v>
      </c>
      <c r="AR13" s="46" t="e">
        <f t="shared" si="41"/>
        <v>#N/A</v>
      </c>
      <c r="AS13" s="68" t="e">
        <f t="shared" si="42"/>
        <v>#N/A</v>
      </c>
      <c r="AT13" s="68" t="e">
        <f t="shared" si="43"/>
        <v>#N/A</v>
      </c>
      <c r="AU13" s="46" t="e">
        <f t="shared" si="44"/>
        <v>#N/A</v>
      </c>
      <c r="AV13" s="68" t="e">
        <f t="shared" si="45"/>
        <v>#N/A</v>
      </c>
      <c r="AW13" s="68" t="e">
        <f t="shared" si="46"/>
        <v>#N/A</v>
      </c>
      <c r="AX13" s="37"/>
      <c r="AY13" s="44"/>
    </row>
    <row r="14" spans="1:51" ht="14.25" customHeight="1" x14ac:dyDescent="0.25">
      <c r="A14" s="43">
        <v>2004</v>
      </c>
      <c r="B14" s="46" t="e">
        <f t="shared" si="0"/>
        <v>#N/A</v>
      </c>
      <c r="C14" s="68" t="e">
        <f t="shared" si="1"/>
        <v>#N/A</v>
      </c>
      <c r="D14" s="68" t="e">
        <f t="shared" si="2"/>
        <v>#N/A</v>
      </c>
      <c r="E14" s="46" t="e">
        <f t="shared" si="47"/>
        <v>#N/A</v>
      </c>
      <c r="F14" s="68" t="e">
        <f t="shared" si="48"/>
        <v>#N/A</v>
      </c>
      <c r="G14" s="68" t="e">
        <f t="shared" si="49"/>
        <v>#N/A</v>
      </c>
      <c r="H14" s="46" t="e">
        <f t="shared" si="5"/>
        <v>#N/A</v>
      </c>
      <c r="I14" s="68" t="e">
        <f t="shared" si="6"/>
        <v>#N/A</v>
      </c>
      <c r="J14" s="68" t="e">
        <f t="shared" si="7"/>
        <v>#N/A</v>
      </c>
      <c r="K14" s="46" t="e">
        <f t="shared" si="8"/>
        <v>#N/A</v>
      </c>
      <c r="L14" s="68" t="e">
        <f t="shared" si="9"/>
        <v>#N/A</v>
      </c>
      <c r="M14" s="68" t="e">
        <f t="shared" si="10"/>
        <v>#N/A</v>
      </c>
      <c r="N14" s="46" t="e">
        <f t="shared" si="11"/>
        <v>#N/A</v>
      </c>
      <c r="O14" s="68" t="e">
        <f t="shared" si="12"/>
        <v>#N/A</v>
      </c>
      <c r="P14" s="68" t="e">
        <f t="shared" si="13"/>
        <v>#N/A</v>
      </c>
      <c r="Q14" s="46" t="e">
        <f t="shared" si="14"/>
        <v>#N/A</v>
      </c>
      <c r="R14" s="68" t="e">
        <f t="shared" si="15"/>
        <v>#N/A</v>
      </c>
      <c r="S14" s="68" t="e">
        <f t="shared" si="16"/>
        <v>#N/A</v>
      </c>
      <c r="T14" s="46" t="e">
        <f t="shared" si="17"/>
        <v>#N/A</v>
      </c>
      <c r="U14" s="68" t="e">
        <f t="shared" si="18"/>
        <v>#N/A</v>
      </c>
      <c r="V14" s="68" t="e">
        <f t="shared" si="19"/>
        <v>#N/A</v>
      </c>
      <c r="W14" s="46" t="e">
        <f t="shared" si="20"/>
        <v>#N/A</v>
      </c>
      <c r="X14" s="68" t="e">
        <f t="shared" si="21"/>
        <v>#N/A</v>
      </c>
      <c r="Y14" s="68" t="e">
        <f t="shared" si="22"/>
        <v>#N/A</v>
      </c>
      <c r="Z14" s="46" t="e">
        <f t="shared" si="23"/>
        <v>#N/A</v>
      </c>
      <c r="AA14" s="68" t="e">
        <f t="shared" si="24"/>
        <v>#N/A</v>
      </c>
      <c r="AB14" s="68" t="e">
        <f t="shared" si="25"/>
        <v>#N/A</v>
      </c>
      <c r="AC14" s="46" t="e">
        <f t="shared" si="26"/>
        <v>#N/A</v>
      </c>
      <c r="AD14" s="68" t="e">
        <f t="shared" si="27"/>
        <v>#N/A</v>
      </c>
      <c r="AE14" s="68" t="e">
        <f t="shared" si="28"/>
        <v>#N/A</v>
      </c>
      <c r="AF14" s="46" t="e">
        <f t="shared" si="29"/>
        <v>#N/A</v>
      </c>
      <c r="AG14" s="68" t="e">
        <f t="shared" si="30"/>
        <v>#N/A</v>
      </c>
      <c r="AH14" s="68" t="e">
        <f t="shared" si="31"/>
        <v>#N/A</v>
      </c>
      <c r="AI14" s="46" t="e">
        <f t="shared" si="32"/>
        <v>#N/A</v>
      </c>
      <c r="AJ14" s="68" t="e">
        <f t="shared" si="33"/>
        <v>#N/A</v>
      </c>
      <c r="AK14" s="68" t="e">
        <f t="shared" si="34"/>
        <v>#N/A</v>
      </c>
      <c r="AL14" s="46" t="e">
        <f t="shared" si="35"/>
        <v>#N/A</v>
      </c>
      <c r="AM14" s="68" t="e">
        <f t="shared" si="36"/>
        <v>#N/A</v>
      </c>
      <c r="AN14" s="68" t="e">
        <f t="shared" si="37"/>
        <v>#N/A</v>
      </c>
      <c r="AO14" s="46" t="e">
        <f t="shared" si="38"/>
        <v>#N/A</v>
      </c>
      <c r="AP14" s="68" t="e">
        <f t="shared" si="39"/>
        <v>#N/A</v>
      </c>
      <c r="AQ14" s="68" t="e">
        <f t="shared" si="40"/>
        <v>#N/A</v>
      </c>
      <c r="AR14" s="46" t="e">
        <f t="shared" si="41"/>
        <v>#N/A</v>
      </c>
      <c r="AS14" s="68" t="e">
        <f t="shared" si="42"/>
        <v>#N/A</v>
      </c>
      <c r="AT14" s="68" t="e">
        <f t="shared" si="43"/>
        <v>#N/A</v>
      </c>
      <c r="AU14" s="46" t="e">
        <f t="shared" si="44"/>
        <v>#N/A</v>
      </c>
      <c r="AV14" s="68" t="e">
        <f t="shared" si="45"/>
        <v>#N/A</v>
      </c>
      <c r="AW14" s="68" t="e">
        <f t="shared" si="46"/>
        <v>#N/A</v>
      </c>
      <c r="AX14" s="37"/>
      <c r="AY14" s="44"/>
    </row>
    <row r="15" spans="1:51" ht="14.25" customHeight="1" x14ac:dyDescent="0.25">
      <c r="A15" s="43">
        <v>2005</v>
      </c>
      <c r="B15" s="46" t="e">
        <f t="shared" si="0"/>
        <v>#N/A</v>
      </c>
      <c r="C15" s="68" t="e">
        <f t="shared" si="1"/>
        <v>#N/A</v>
      </c>
      <c r="D15" s="68" t="e">
        <f t="shared" si="2"/>
        <v>#N/A</v>
      </c>
      <c r="E15" s="46" t="e">
        <f t="shared" si="47"/>
        <v>#N/A</v>
      </c>
      <c r="F15" s="68" t="e">
        <f t="shared" si="48"/>
        <v>#N/A</v>
      </c>
      <c r="G15" s="68" t="e">
        <f t="shared" si="49"/>
        <v>#N/A</v>
      </c>
      <c r="H15" s="46" t="e">
        <f t="shared" si="5"/>
        <v>#N/A</v>
      </c>
      <c r="I15" s="68" t="e">
        <f t="shared" si="6"/>
        <v>#N/A</v>
      </c>
      <c r="J15" s="68" t="e">
        <f t="shared" si="7"/>
        <v>#N/A</v>
      </c>
      <c r="K15" s="46" t="e">
        <f t="shared" si="8"/>
        <v>#N/A</v>
      </c>
      <c r="L15" s="68" t="e">
        <f t="shared" si="9"/>
        <v>#N/A</v>
      </c>
      <c r="M15" s="68" t="e">
        <f t="shared" si="10"/>
        <v>#N/A</v>
      </c>
      <c r="N15" s="46" t="e">
        <f t="shared" si="11"/>
        <v>#N/A</v>
      </c>
      <c r="O15" s="68" t="e">
        <f t="shared" si="12"/>
        <v>#N/A</v>
      </c>
      <c r="P15" s="68" t="e">
        <f t="shared" si="13"/>
        <v>#N/A</v>
      </c>
      <c r="Q15" s="46" t="e">
        <f t="shared" si="14"/>
        <v>#N/A</v>
      </c>
      <c r="R15" s="68" t="e">
        <f t="shared" si="15"/>
        <v>#N/A</v>
      </c>
      <c r="S15" s="68" t="e">
        <f t="shared" si="16"/>
        <v>#N/A</v>
      </c>
      <c r="T15" s="46" t="e">
        <f t="shared" si="17"/>
        <v>#N/A</v>
      </c>
      <c r="U15" s="68" t="e">
        <f t="shared" si="18"/>
        <v>#N/A</v>
      </c>
      <c r="V15" s="68" t="e">
        <f t="shared" si="19"/>
        <v>#N/A</v>
      </c>
      <c r="W15" s="46" t="e">
        <f t="shared" si="20"/>
        <v>#N/A</v>
      </c>
      <c r="X15" s="68" t="e">
        <f t="shared" si="21"/>
        <v>#N/A</v>
      </c>
      <c r="Y15" s="68" t="e">
        <f t="shared" si="22"/>
        <v>#N/A</v>
      </c>
      <c r="Z15" s="46" t="e">
        <f t="shared" si="23"/>
        <v>#N/A</v>
      </c>
      <c r="AA15" s="68" t="e">
        <f t="shared" si="24"/>
        <v>#N/A</v>
      </c>
      <c r="AB15" s="68" t="e">
        <f t="shared" si="25"/>
        <v>#N/A</v>
      </c>
      <c r="AC15" s="46" t="e">
        <f t="shared" si="26"/>
        <v>#N/A</v>
      </c>
      <c r="AD15" s="68" t="e">
        <f t="shared" si="27"/>
        <v>#N/A</v>
      </c>
      <c r="AE15" s="68" t="e">
        <f t="shared" si="28"/>
        <v>#N/A</v>
      </c>
      <c r="AF15" s="46" t="e">
        <f t="shared" si="29"/>
        <v>#N/A</v>
      </c>
      <c r="AG15" s="68" t="e">
        <f t="shared" si="30"/>
        <v>#N/A</v>
      </c>
      <c r="AH15" s="68" t="e">
        <f t="shared" si="31"/>
        <v>#N/A</v>
      </c>
      <c r="AI15" s="46" t="e">
        <f t="shared" si="32"/>
        <v>#N/A</v>
      </c>
      <c r="AJ15" s="68" t="e">
        <f t="shared" si="33"/>
        <v>#N/A</v>
      </c>
      <c r="AK15" s="68" t="e">
        <f t="shared" si="34"/>
        <v>#N/A</v>
      </c>
      <c r="AL15" s="46" t="e">
        <f t="shared" si="35"/>
        <v>#N/A</v>
      </c>
      <c r="AM15" s="68" t="e">
        <f t="shared" si="36"/>
        <v>#N/A</v>
      </c>
      <c r="AN15" s="68" t="e">
        <f t="shared" si="37"/>
        <v>#N/A</v>
      </c>
      <c r="AO15" s="46" t="e">
        <f t="shared" si="38"/>
        <v>#N/A</v>
      </c>
      <c r="AP15" s="68" t="e">
        <f t="shared" si="39"/>
        <v>#N/A</v>
      </c>
      <c r="AQ15" s="68" t="e">
        <f t="shared" si="40"/>
        <v>#N/A</v>
      </c>
      <c r="AR15" s="46" t="e">
        <f t="shared" si="41"/>
        <v>#N/A</v>
      </c>
      <c r="AS15" s="68" t="e">
        <f t="shared" si="42"/>
        <v>#N/A</v>
      </c>
      <c r="AT15" s="68" t="e">
        <f t="shared" si="43"/>
        <v>#N/A</v>
      </c>
      <c r="AU15" s="46" t="e">
        <f t="shared" si="44"/>
        <v>#N/A</v>
      </c>
      <c r="AV15" s="68" t="e">
        <f t="shared" si="45"/>
        <v>#N/A</v>
      </c>
      <c r="AW15" s="68" t="e">
        <f t="shared" si="46"/>
        <v>#N/A</v>
      </c>
      <c r="AX15" s="37"/>
      <c r="AY15" s="44"/>
    </row>
    <row r="16" spans="1:51" ht="14.25" customHeight="1" x14ac:dyDescent="0.25">
      <c r="A16" s="43">
        <v>2006</v>
      </c>
      <c r="B16" s="46" t="e">
        <f t="shared" si="0"/>
        <v>#N/A</v>
      </c>
      <c r="C16" s="68" t="e">
        <f t="shared" si="1"/>
        <v>#N/A</v>
      </c>
      <c r="D16" s="68" t="e">
        <f t="shared" si="2"/>
        <v>#N/A</v>
      </c>
      <c r="E16" s="46" t="e">
        <f t="shared" si="47"/>
        <v>#N/A</v>
      </c>
      <c r="F16" s="68" t="e">
        <f t="shared" si="48"/>
        <v>#N/A</v>
      </c>
      <c r="G16" s="68" t="e">
        <f t="shared" si="49"/>
        <v>#N/A</v>
      </c>
      <c r="H16" s="46" t="e">
        <f t="shared" si="5"/>
        <v>#N/A</v>
      </c>
      <c r="I16" s="68" t="e">
        <f t="shared" si="6"/>
        <v>#N/A</v>
      </c>
      <c r="J16" s="68" t="e">
        <f t="shared" si="7"/>
        <v>#N/A</v>
      </c>
      <c r="K16" s="46" t="e">
        <f t="shared" si="8"/>
        <v>#N/A</v>
      </c>
      <c r="L16" s="68" t="e">
        <f t="shared" si="9"/>
        <v>#N/A</v>
      </c>
      <c r="M16" s="68" t="e">
        <f t="shared" si="10"/>
        <v>#N/A</v>
      </c>
      <c r="N16" s="46" t="e">
        <f t="shared" si="11"/>
        <v>#N/A</v>
      </c>
      <c r="O16" s="68" t="e">
        <f t="shared" si="12"/>
        <v>#N/A</v>
      </c>
      <c r="P16" s="68" t="e">
        <f t="shared" si="13"/>
        <v>#N/A</v>
      </c>
      <c r="Q16" s="46" t="e">
        <f t="shared" si="14"/>
        <v>#N/A</v>
      </c>
      <c r="R16" s="68" t="e">
        <f t="shared" si="15"/>
        <v>#N/A</v>
      </c>
      <c r="S16" s="68" t="e">
        <f t="shared" si="16"/>
        <v>#N/A</v>
      </c>
      <c r="T16" s="46" t="e">
        <f t="shared" si="17"/>
        <v>#N/A</v>
      </c>
      <c r="U16" s="68" t="e">
        <f t="shared" si="18"/>
        <v>#N/A</v>
      </c>
      <c r="V16" s="68" t="e">
        <f t="shared" si="19"/>
        <v>#N/A</v>
      </c>
      <c r="W16" s="46" t="e">
        <f t="shared" si="20"/>
        <v>#N/A</v>
      </c>
      <c r="X16" s="68" t="e">
        <f t="shared" si="21"/>
        <v>#N/A</v>
      </c>
      <c r="Y16" s="68" t="e">
        <f t="shared" si="22"/>
        <v>#N/A</v>
      </c>
      <c r="Z16" s="46" t="e">
        <f t="shared" si="23"/>
        <v>#N/A</v>
      </c>
      <c r="AA16" s="68" t="e">
        <f t="shared" si="24"/>
        <v>#N/A</v>
      </c>
      <c r="AB16" s="68" t="e">
        <f t="shared" si="25"/>
        <v>#N/A</v>
      </c>
      <c r="AC16" s="46" t="e">
        <f t="shared" si="26"/>
        <v>#N/A</v>
      </c>
      <c r="AD16" s="68" t="e">
        <f t="shared" si="27"/>
        <v>#N/A</v>
      </c>
      <c r="AE16" s="68" t="e">
        <f t="shared" si="28"/>
        <v>#N/A</v>
      </c>
      <c r="AF16" s="46" t="e">
        <f t="shared" si="29"/>
        <v>#N/A</v>
      </c>
      <c r="AG16" s="68" t="e">
        <f t="shared" si="30"/>
        <v>#N/A</v>
      </c>
      <c r="AH16" s="68" t="e">
        <f t="shared" si="31"/>
        <v>#N/A</v>
      </c>
      <c r="AI16" s="46" t="e">
        <f t="shared" si="32"/>
        <v>#N/A</v>
      </c>
      <c r="AJ16" s="68" t="e">
        <f t="shared" si="33"/>
        <v>#N/A</v>
      </c>
      <c r="AK16" s="68" t="e">
        <f t="shared" si="34"/>
        <v>#N/A</v>
      </c>
      <c r="AL16" s="46" t="e">
        <f t="shared" si="35"/>
        <v>#N/A</v>
      </c>
      <c r="AM16" s="68" t="e">
        <f t="shared" si="36"/>
        <v>#N/A</v>
      </c>
      <c r="AN16" s="68" t="e">
        <f t="shared" si="37"/>
        <v>#N/A</v>
      </c>
      <c r="AO16" s="46" t="e">
        <f t="shared" si="38"/>
        <v>#N/A</v>
      </c>
      <c r="AP16" s="68" t="e">
        <f t="shared" si="39"/>
        <v>#N/A</v>
      </c>
      <c r="AQ16" s="68" t="e">
        <f t="shared" si="40"/>
        <v>#N/A</v>
      </c>
      <c r="AR16" s="46" t="e">
        <f t="shared" si="41"/>
        <v>#N/A</v>
      </c>
      <c r="AS16" s="68" t="e">
        <f t="shared" si="42"/>
        <v>#N/A</v>
      </c>
      <c r="AT16" s="68" t="e">
        <f t="shared" si="43"/>
        <v>#N/A</v>
      </c>
      <c r="AU16" s="46" t="e">
        <f t="shared" si="44"/>
        <v>#N/A</v>
      </c>
      <c r="AV16" s="68" t="e">
        <f t="shared" si="45"/>
        <v>#N/A</v>
      </c>
      <c r="AW16" s="68" t="e">
        <f t="shared" si="46"/>
        <v>#N/A</v>
      </c>
      <c r="AX16" s="37"/>
      <c r="AY16" s="44"/>
    </row>
    <row r="17" spans="1:51" ht="14.25" customHeight="1" x14ac:dyDescent="0.25">
      <c r="A17" s="43">
        <v>2007</v>
      </c>
      <c r="B17" s="46" t="e">
        <f t="shared" si="0"/>
        <v>#N/A</v>
      </c>
      <c r="C17" s="68" t="e">
        <f t="shared" si="1"/>
        <v>#N/A</v>
      </c>
      <c r="D17" s="68" t="e">
        <f t="shared" si="2"/>
        <v>#N/A</v>
      </c>
      <c r="E17" s="46" t="e">
        <f t="shared" si="47"/>
        <v>#N/A</v>
      </c>
      <c r="F17" s="68" t="e">
        <f t="shared" si="48"/>
        <v>#N/A</v>
      </c>
      <c r="G17" s="68" t="e">
        <f t="shared" si="49"/>
        <v>#N/A</v>
      </c>
      <c r="H17" s="46" t="e">
        <f t="shared" si="5"/>
        <v>#N/A</v>
      </c>
      <c r="I17" s="68" t="e">
        <f t="shared" si="6"/>
        <v>#N/A</v>
      </c>
      <c r="J17" s="68" t="e">
        <f t="shared" si="7"/>
        <v>#N/A</v>
      </c>
      <c r="K17" s="46" t="e">
        <f t="shared" si="8"/>
        <v>#N/A</v>
      </c>
      <c r="L17" s="68" t="e">
        <f t="shared" si="9"/>
        <v>#N/A</v>
      </c>
      <c r="M17" s="68" t="e">
        <f t="shared" si="10"/>
        <v>#N/A</v>
      </c>
      <c r="N17" s="46" t="e">
        <f t="shared" si="11"/>
        <v>#N/A</v>
      </c>
      <c r="O17" s="68" t="e">
        <f t="shared" si="12"/>
        <v>#N/A</v>
      </c>
      <c r="P17" s="68" t="e">
        <f t="shared" si="13"/>
        <v>#N/A</v>
      </c>
      <c r="Q17" s="46" t="e">
        <f t="shared" si="14"/>
        <v>#N/A</v>
      </c>
      <c r="R17" s="68" t="e">
        <f t="shared" si="15"/>
        <v>#N/A</v>
      </c>
      <c r="S17" s="68" t="e">
        <f t="shared" si="16"/>
        <v>#N/A</v>
      </c>
      <c r="T17" s="46" t="e">
        <f t="shared" si="17"/>
        <v>#N/A</v>
      </c>
      <c r="U17" s="68" t="e">
        <f t="shared" si="18"/>
        <v>#N/A</v>
      </c>
      <c r="V17" s="68" t="e">
        <f t="shared" si="19"/>
        <v>#N/A</v>
      </c>
      <c r="W17" s="46" t="e">
        <f t="shared" si="20"/>
        <v>#N/A</v>
      </c>
      <c r="X17" s="68" t="e">
        <f t="shared" si="21"/>
        <v>#N/A</v>
      </c>
      <c r="Y17" s="68" t="e">
        <f t="shared" si="22"/>
        <v>#N/A</v>
      </c>
      <c r="Z17" s="46" t="e">
        <f t="shared" si="23"/>
        <v>#N/A</v>
      </c>
      <c r="AA17" s="68" t="e">
        <f t="shared" si="24"/>
        <v>#N/A</v>
      </c>
      <c r="AB17" s="68" t="e">
        <f t="shared" si="25"/>
        <v>#N/A</v>
      </c>
      <c r="AC17" s="46" t="e">
        <f t="shared" si="26"/>
        <v>#N/A</v>
      </c>
      <c r="AD17" s="68" t="e">
        <f t="shared" si="27"/>
        <v>#N/A</v>
      </c>
      <c r="AE17" s="68" t="e">
        <f t="shared" si="28"/>
        <v>#N/A</v>
      </c>
      <c r="AF17" s="46" t="e">
        <f t="shared" si="29"/>
        <v>#N/A</v>
      </c>
      <c r="AG17" s="68" t="e">
        <f t="shared" si="30"/>
        <v>#N/A</v>
      </c>
      <c r="AH17" s="68" t="e">
        <f t="shared" si="31"/>
        <v>#N/A</v>
      </c>
      <c r="AI17" s="46" t="e">
        <f t="shared" si="32"/>
        <v>#N/A</v>
      </c>
      <c r="AJ17" s="68" t="e">
        <f t="shared" si="33"/>
        <v>#N/A</v>
      </c>
      <c r="AK17" s="68" t="e">
        <f t="shared" si="34"/>
        <v>#N/A</v>
      </c>
      <c r="AL17" s="46" t="e">
        <f t="shared" si="35"/>
        <v>#N/A</v>
      </c>
      <c r="AM17" s="68" t="e">
        <f t="shared" si="36"/>
        <v>#N/A</v>
      </c>
      <c r="AN17" s="68" t="e">
        <f t="shared" si="37"/>
        <v>#N/A</v>
      </c>
      <c r="AO17" s="46" t="e">
        <f t="shared" si="38"/>
        <v>#N/A</v>
      </c>
      <c r="AP17" s="68" t="e">
        <f t="shared" si="39"/>
        <v>#N/A</v>
      </c>
      <c r="AQ17" s="68" t="e">
        <f t="shared" si="40"/>
        <v>#N/A</v>
      </c>
      <c r="AR17" s="46" t="e">
        <f t="shared" si="41"/>
        <v>#N/A</v>
      </c>
      <c r="AS17" s="68" t="e">
        <f t="shared" si="42"/>
        <v>#N/A</v>
      </c>
      <c r="AT17" s="68" t="e">
        <f t="shared" si="43"/>
        <v>#N/A</v>
      </c>
      <c r="AU17" s="46" t="e">
        <f t="shared" si="44"/>
        <v>#N/A</v>
      </c>
      <c r="AV17" s="68" t="e">
        <f t="shared" si="45"/>
        <v>#N/A</v>
      </c>
      <c r="AW17" s="68" t="e">
        <f t="shared" si="46"/>
        <v>#N/A</v>
      </c>
      <c r="AX17" s="37"/>
      <c r="AY17" s="44"/>
    </row>
    <row r="18" spans="1:51" ht="14.25" customHeight="1" x14ac:dyDescent="0.25">
      <c r="A18" s="43">
        <v>2008</v>
      </c>
      <c r="B18" s="46" t="e">
        <f t="shared" si="0"/>
        <v>#N/A</v>
      </c>
      <c r="C18" s="68" t="e">
        <f t="shared" si="1"/>
        <v>#N/A</v>
      </c>
      <c r="D18" s="68" t="e">
        <f t="shared" si="2"/>
        <v>#N/A</v>
      </c>
      <c r="E18" s="46" t="e">
        <f t="shared" si="47"/>
        <v>#N/A</v>
      </c>
      <c r="F18" s="68" t="e">
        <f t="shared" si="48"/>
        <v>#N/A</v>
      </c>
      <c r="G18" s="68" t="e">
        <f t="shared" si="49"/>
        <v>#N/A</v>
      </c>
      <c r="H18" s="46" t="e">
        <f t="shared" si="5"/>
        <v>#N/A</v>
      </c>
      <c r="I18" s="68" t="e">
        <f t="shared" ref="I18:I37" si="50">12/H18</f>
        <v>#N/A</v>
      </c>
      <c r="J18" s="68" t="e">
        <f t="shared" si="7"/>
        <v>#N/A</v>
      </c>
      <c r="K18" s="46" t="e">
        <f t="shared" si="8"/>
        <v>#N/A</v>
      </c>
      <c r="L18" s="68" t="e">
        <f t="shared" si="9"/>
        <v>#N/A</v>
      </c>
      <c r="M18" s="68" t="e">
        <f t="shared" si="10"/>
        <v>#N/A</v>
      </c>
      <c r="N18" s="46" t="e">
        <f t="shared" si="11"/>
        <v>#N/A</v>
      </c>
      <c r="O18" s="68" t="e">
        <f t="shared" si="12"/>
        <v>#N/A</v>
      </c>
      <c r="P18" s="68" t="e">
        <f t="shared" si="13"/>
        <v>#N/A</v>
      </c>
      <c r="Q18" s="46" t="e">
        <f t="shared" si="14"/>
        <v>#N/A</v>
      </c>
      <c r="R18" s="68" t="e">
        <f t="shared" si="15"/>
        <v>#N/A</v>
      </c>
      <c r="S18" s="68" t="e">
        <f t="shared" si="16"/>
        <v>#N/A</v>
      </c>
      <c r="T18" s="46" t="e">
        <f t="shared" si="17"/>
        <v>#N/A</v>
      </c>
      <c r="U18" s="68" t="e">
        <f t="shared" si="18"/>
        <v>#N/A</v>
      </c>
      <c r="V18" s="68" t="e">
        <f t="shared" si="19"/>
        <v>#N/A</v>
      </c>
      <c r="W18" s="46" t="e">
        <f t="shared" si="20"/>
        <v>#N/A</v>
      </c>
      <c r="X18" s="68" t="e">
        <f t="shared" si="21"/>
        <v>#N/A</v>
      </c>
      <c r="Y18" s="68" t="e">
        <f t="shared" si="22"/>
        <v>#N/A</v>
      </c>
      <c r="Z18" s="46" t="e">
        <f t="shared" si="23"/>
        <v>#N/A</v>
      </c>
      <c r="AA18" s="68" t="e">
        <f t="shared" si="24"/>
        <v>#N/A</v>
      </c>
      <c r="AB18" s="68" t="e">
        <f t="shared" si="25"/>
        <v>#N/A</v>
      </c>
      <c r="AC18" s="46" t="e">
        <f t="shared" si="26"/>
        <v>#N/A</v>
      </c>
      <c r="AD18" s="68" t="e">
        <f t="shared" si="27"/>
        <v>#N/A</v>
      </c>
      <c r="AE18" s="68" t="e">
        <f t="shared" si="28"/>
        <v>#N/A</v>
      </c>
      <c r="AF18" s="46" t="e">
        <f t="shared" si="29"/>
        <v>#N/A</v>
      </c>
      <c r="AG18" s="68" t="e">
        <f t="shared" si="30"/>
        <v>#N/A</v>
      </c>
      <c r="AH18" s="68" t="e">
        <f t="shared" si="31"/>
        <v>#N/A</v>
      </c>
      <c r="AI18" s="46" t="e">
        <f t="shared" si="32"/>
        <v>#N/A</v>
      </c>
      <c r="AJ18" s="68" t="e">
        <f t="shared" si="33"/>
        <v>#N/A</v>
      </c>
      <c r="AK18" s="68" t="e">
        <f t="shared" si="34"/>
        <v>#N/A</v>
      </c>
      <c r="AL18" s="46" t="e">
        <f t="shared" si="35"/>
        <v>#N/A</v>
      </c>
      <c r="AM18" s="68" t="e">
        <f t="shared" si="36"/>
        <v>#N/A</v>
      </c>
      <c r="AN18" s="68" t="e">
        <f t="shared" si="37"/>
        <v>#N/A</v>
      </c>
      <c r="AO18" s="46" t="e">
        <f t="shared" si="38"/>
        <v>#N/A</v>
      </c>
      <c r="AP18" s="68" t="e">
        <f t="shared" si="39"/>
        <v>#N/A</v>
      </c>
      <c r="AQ18" s="68" t="e">
        <f t="shared" si="40"/>
        <v>#N/A</v>
      </c>
      <c r="AR18" s="46" t="e">
        <f t="shared" si="41"/>
        <v>#N/A</v>
      </c>
      <c r="AS18" s="68" t="e">
        <f t="shared" si="42"/>
        <v>#N/A</v>
      </c>
      <c r="AT18" s="68" t="e">
        <f t="shared" si="43"/>
        <v>#N/A</v>
      </c>
      <c r="AU18" s="46" t="e">
        <f t="shared" si="44"/>
        <v>#N/A</v>
      </c>
      <c r="AV18" s="68" t="e">
        <f t="shared" si="45"/>
        <v>#N/A</v>
      </c>
      <c r="AW18" s="68" t="e">
        <f t="shared" si="46"/>
        <v>#N/A</v>
      </c>
      <c r="AX18" s="37"/>
      <c r="AY18" s="44"/>
    </row>
    <row r="19" spans="1:51" ht="14.25" customHeight="1" x14ac:dyDescent="0.25">
      <c r="A19" s="43">
        <v>2009</v>
      </c>
      <c r="B19" s="46" t="e">
        <f t="shared" si="0"/>
        <v>#N/A</v>
      </c>
      <c r="C19" s="68" t="e">
        <f t="shared" si="1"/>
        <v>#N/A</v>
      </c>
      <c r="D19" s="68" t="e">
        <f t="shared" si="2"/>
        <v>#N/A</v>
      </c>
      <c r="E19" s="46" t="e">
        <f t="shared" si="47"/>
        <v>#N/A</v>
      </c>
      <c r="F19" s="68" t="e">
        <f t="shared" si="48"/>
        <v>#N/A</v>
      </c>
      <c r="G19" s="68" t="e">
        <f t="shared" si="49"/>
        <v>#N/A</v>
      </c>
      <c r="H19" s="46" t="e">
        <f t="shared" si="5"/>
        <v>#N/A</v>
      </c>
      <c r="I19" s="68" t="e">
        <f t="shared" si="50"/>
        <v>#N/A</v>
      </c>
      <c r="J19" s="68" t="e">
        <f t="shared" si="7"/>
        <v>#N/A</v>
      </c>
      <c r="K19" s="46" t="e">
        <f t="shared" si="8"/>
        <v>#N/A</v>
      </c>
      <c r="L19" s="68" t="e">
        <f t="shared" si="9"/>
        <v>#N/A</v>
      </c>
      <c r="M19" s="68" t="e">
        <f t="shared" si="10"/>
        <v>#N/A</v>
      </c>
      <c r="N19" s="46" t="e">
        <f t="shared" si="11"/>
        <v>#N/A</v>
      </c>
      <c r="O19" s="68" t="e">
        <f t="shared" si="12"/>
        <v>#N/A</v>
      </c>
      <c r="P19" s="68" t="e">
        <f t="shared" si="13"/>
        <v>#N/A</v>
      </c>
      <c r="Q19" s="46" t="e">
        <f t="shared" si="14"/>
        <v>#N/A</v>
      </c>
      <c r="R19" s="68" t="e">
        <f t="shared" si="15"/>
        <v>#N/A</v>
      </c>
      <c r="S19" s="68" t="e">
        <f t="shared" si="16"/>
        <v>#N/A</v>
      </c>
      <c r="T19" s="46" t="e">
        <f t="shared" si="17"/>
        <v>#N/A</v>
      </c>
      <c r="U19" s="68" t="e">
        <f t="shared" si="18"/>
        <v>#N/A</v>
      </c>
      <c r="V19" s="68" t="e">
        <f t="shared" si="19"/>
        <v>#N/A</v>
      </c>
      <c r="W19" s="46" t="e">
        <f t="shared" si="20"/>
        <v>#N/A</v>
      </c>
      <c r="X19" s="68" t="e">
        <f t="shared" si="21"/>
        <v>#N/A</v>
      </c>
      <c r="Y19" s="68" t="e">
        <f t="shared" si="22"/>
        <v>#N/A</v>
      </c>
      <c r="Z19" s="46" t="e">
        <f t="shared" si="23"/>
        <v>#N/A</v>
      </c>
      <c r="AA19" s="68" t="e">
        <f t="shared" si="24"/>
        <v>#N/A</v>
      </c>
      <c r="AB19" s="68" t="e">
        <f t="shared" si="25"/>
        <v>#N/A</v>
      </c>
      <c r="AC19" s="46" t="e">
        <f t="shared" si="26"/>
        <v>#N/A</v>
      </c>
      <c r="AD19" s="68" t="e">
        <f t="shared" si="27"/>
        <v>#N/A</v>
      </c>
      <c r="AE19" s="68" t="e">
        <f t="shared" si="28"/>
        <v>#N/A</v>
      </c>
      <c r="AF19" s="46" t="e">
        <f t="shared" si="29"/>
        <v>#N/A</v>
      </c>
      <c r="AG19" s="68" t="e">
        <f t="shared" si="30"/>
        <v>#N/A</v>
      </c>
      <c r="AH19" s="68" t="e">
        <f t="shared" si="31"/>
        <v>#N/A</v>
      </c>
      <c r="AI19" s="46" t="e">
        <f t="shared" si="32"/>
        <v>#N/A</v>
      </c>
      <c r="AJ19" s="68" t="e">
        <f t="shared" si="33"/>
        <v>#N/A</v>
      </c>
      <c r="AK19" s="68" t="e">
        <f t="shared" si="34"/>
        <v>#N/A</v>
      </c>
      <c r="AL19" s="46" t="e">
        <f t="shared" si="35"/>
        <v>#N/A</v>
      </c>
      <c r="AM19" s="68" t="e">
        <f t="shared" si="36"/>
        <v>#N/A</v>
      </c>
      <c r="AN19" s="68" t="e">
        <f t="shared" si="37"/>
        <v>#N/A</v>
      </c>
      <c r="AO19" s="46" t="e">
        <f t="shared" si="38"/>
        <v>#N/A</v>
      </c>
      <c r="AP19" s="68" t="e">
        <f t="shared" si="39"/>
        <v>#N/A</v>
      </c>
      <c r="AQ19" s="68" t="e">
        <f t="shared" si="40"/>
        <v>#N/A</v>
      </c>
      <c r="AR19" s="46" t="e">
        <f t="shared" si="41"/>
        <v>#N/A</v>
      </c>
      <c r="AS19" s="68" t="e">
        <f t="shared" si="42"/>
        <v>#N/A</v>
      </c>
      <c r="AT19" s="68" t="e">
        <f t="shared" si="43"/>
        <v>#N/A</v>
      </c>
      <c r="AU19" s="46" t="e">
        <f t="shared" si="44"/>
        <v>#N/A</v>
      </c>
      <c r="AV19" s="68" t="e">
        <f t="shared" si="45"/>
        <v>#N/A</v>
      </c>
      <c r="AW19" s="68" t="e">
        <f t="shared" si="46"/>
        <v>#N/A</v>
      </c>
      <c r="AX19" s="37"/>
      <c r="AY19" s="44"/>
    </row>
    <row r="20" spans="1:51" ht="14.25" customHeight="1" x14ac:dyDescent="0.25">
      <c r="A20" s="43">
        <v>2010</v>
      </c>
      <c r="B20" s="46" t="e">
        <f t="shared" si="0"/>
        <v>#N/A</v>
      </c>
      <c r="C20" s="68" t="e">
        <f t="shared" si="1"/>
        <v>#N/A</v>
      </c>
      <c r="D20" s="68" t="e">
        <f t="shared" si="2"/>
        <v>#N/A</v>
      </c>
      <c r="E20" s="46" t="e">
        <f t="shared" si="47"/>
        <v>#N/A</v>
      </c>
      <c r="F20" s="68" t="e">
        <f t="shared" si="48"/>
        <v>#N/A</v>
      </c>
      <c r="G20" s="68" t="e">
        <f t="shared" si="49"/>
        <v>#N/A</v>
      </c>
      <c r="H20" s="46" t="e">
        <f t="shared" si="5"/>
        <v>#N/A</v>
      </c>
      <c r="I20" s="68" t="e">
        <f t="shared" si="50"/>
        <v>#N/A</v>
      </c>
      <c r="J20" s="68" t="e">
        <f t="shared" si="7"/>
        <v>#N/A</v>
      </c>
      <c r="K20" s="46" t="e">
        <f t="shared" si="8"/>
        <v>#N/A</v>
      </c>
      <c r="L20" s="68" t="e">
        <f t="shared" si="9"/>
        <v>#N/A</v>
      </c>
      <c r="M20" s="68" t="e">
        <f t="shared" si="10"/>
        <v>#N/A</v>
      </c>
      <c r="N20" s="46" t="e">
        <f t="shared" si="11"/>
        <v>#N/A</v>
      </c>
      <c r="O20" s="68" t="e">
        <f t="shared" si="12"/>
        <v>#N/A</v>
      </c>
      <c r="P20" s="68" t="e">
        <f t="shared" si="13"/>
        <v>#N/A</v>
      </c>
      <c r="Q20" s="46" t="e">
        <f t="shared" si="14"/>
        <v>#N/A</v>
      </c>
      <c r="R20" s="68" t="e">
        <f t="shared" si="15"/>
        <v>#N/A</v>
      </c>
      <c r="S20" s="68" t="e">
        <f t="shared" si="16"/>
        <v>#N/A</v>
      </c>
      <c r="T20" s="46" t="e">
        <f t="shared" si="17"/>
        <v>#N/A</v>
      </c>
      <c r="U20" s="68" t="e">
        <f t="shared" si="18"/>
        <v>#N/A</v>
      </c>
      <c r="V20" s="68" t="e">
        <f t="shared" si="19"/>
        <v>#N/A</v>
      </c>
      <c r="W20" s="46" t="e">
        <f t="shared" si="20"/>
        <v>#N/A</v>
      </c>
      <c r="X20" s="68" t="e">
        <f t="shared" si="21"/>
        <v>#N/A</v>
      </c>
      <c r="Y20" s="68" t="e">
        <f t="shared" si="22"/>
        <v>#N/A</v>
      </c>
      <c r="Z20" s="46" t="e">
        <f t="shared" si="23"/>
        <v>#N/A</v>
      </c>
      <c r="AA20" s="68" t="e">
        <f t="shared" si="24"/>
        <v>#N/A</v>
      </c>
      <c r="AB20" s="68" t="e">
        <f t="shared" si="25"/>
        <v>#N/A</v>
      </c>
      <c r="AC20" s="46" t="e">
        <f t="shared" si="26"/>
        <v>#N/A</v>
      </c>
      <c r="AD20" s="68" t="e">
        <f t="shared" si="27"/>
        <v>#N/A</v>
      </c>
      <c r="AE20" s="68" t="e">
        <f t="shared" si="28"/>
        <v>#N/A</v>
      </c>
      <c r="AF20" s="46" t="e">
        <f t="shared" si="29"/>
        <v>#N/A</v>
      </c>
      <c r="AG20" s="68" t="e">
        <f t="shared" si="30"/>
        <v>#N/A</v>
      </c>
      <c r="AH20" s="68" t="e">
        <f t="shared" si="31"/>
        <v>#N/A</v>
      </c>
      <c r="AI20" s="46" t="e">
        <f t="shared" si="32"/>
        <v>#N/A</v>
      </c>
      <c r="AJ20" s="68" t="e">
        <f t="shared" si="33"/>
        <v>#N/A</v>
      </c>
      <c r="AK20" s="68" t="e">
        <f t="shared" si="34"/>
        <v>#N/A</v>
      </c>
      <c r="AL20" s="46" t="e">
        <f t="shared" si="35"/>
        <v>#N/A</v>
      </c>
      <c r="AM20" s="68" t="e">
        <f t="shared" si="36"/>
        <v>#N/A</v>
      </c>
      <c r="AN20" s="68" t="e">
        <f t="shared" si="37"/>
        <v>#N/A</v>
      </c>
      <c r="AO20" s="46" t="e">
        <f t="shared" si="38"/>
        <v>#N/A</v>
      </c>
      <c r="AP20" s="68" t="e">
        <f t="shared" si="39"/>
        <v>#N/A</v>
      </c>
      <c r="AQ20" s="68" t="e">
        <f t="shared" si="40"/>
        <v>#N/A</v>
      </c>
      <c r="AR20" s="46" t="e">
        <f t="shared" si="41"/>
        <v>#N/A</v>
      </c>
      <c r="AS20" s="68" t="e">
        <f t="shared" si="42"/>
        <v>#N/A</v>
      </c>
      <c r="AT20" s="68" t="e">
        <f t="shared" si="43"/>
        <v>#N/A</v>
      </c>
      <c r="AU20" s="46" t="e">
        <f t="shared" si="44"/>
        <v>#N/A</v>
      </c>
      <c r="AV20" s="68" t="e">
        <f t="shared" si="45"/>
        <v>#N/A</v>
      </c>
      <c r="AW20" s="68" t="e">
        <f t="shared" si="46"/>
        <v>#N/A</v>
      </c>
      <c r="AX20" s="37"/>
      <c r="AY20" s="44"/>
    </row>
    <row r="21" spans="1:51" ht="14.25" customHeight="1" x14ac:dyDescent="0.25">
      <c r="A21" s="43">
        <v>2011</v>
      </c>
      <c r="B21" s="46" t="e">
        <f t="shared" si="0"/>
        <v>#N/A</v>
      </c>
      <c r="C21" s="68" t="e">
        <f t="shared" ref="C21:C27" si="51">12/B21</f>
        <v>#N/A</v>
      </c>
      <c r="D21" s="68" t="e">
        <f t="shared" ref="D21:D27" si="52">C21</f>
        <v>#N/A</v>
      </c>
      <c r="E21" s="46" t="e">
        <f t="shared" si="47"/>
        <v>#N/A</v>
      </c>
      <c r="F21" s="68" t="e">
        <f t="shared" si="48"/>
        <v>#N/A</v>
      </c>
      <c r="G21" s="68" t="e">
        <f t="shared" si="49"/>
        <v>#N/A</v>
      </c>
      <c r="H21" s="46" t="e">
        <f t="shared" si="5"/>
        <v>#N/A</v>
      </c>
      <c r="I21" s="68" t="e">
        <f t="shared" ref="I21:I27" si="53">12/H21</f>
        <v>#N/A</v>
      </c>
      <c r="J21" s="68" t="e">
        <f t="shared" ref="J21:J27" si="54">I21</f>
        <v>#N/A</v>
      </c>
      <c r="K21" s="46" t="e">
        <f t="shared" si="8"/>
        <v>#N/A</v>
      </c>
      <c r="L21" s="68" t="e">
        <f t="shared" ref="L21:L27" si="55">12/K21</f>
        <v>#N/A</v>
      </c>
      <c r="M21" s="68" t="e">
        <f t="shared" ref="M21:M27" si="56">L21</f>
        <v>#N/A</v>
      </c>
      <c r="N21" s="46" t="e">
        <f t="shared" si="11"/>
        <v>#N/A</v>
      </c>
      <c r="O21" s="68" t="e">
        <f t="shared" ref="O21:O27" si="57">12/N21</f>
        <v>#N/A</v>
      </c>
      <c r="P21" s="68" t="e">
        <f t="shared" ref="P21:P27" si="58">O21</f>
        <v>#N/A</v>
      </c>
      <c r="Q21" s="46" t="e">
        <f t="shared" si="14"/>
        <v>#N/A</v>
      </c>
      <c r="R21" s="68" t="e">
        <f t="shared" ref="R21:R27" si="59">12/Q21</f>
        <v>#N/A</v>
      </c>
      <c r="S21" s="68" t="e">
        <f t="shared" ref="S21:S27" si="60">R21</f>
        <v>#N/A</v>
      </c>
      <c r="T21" s="46" t="e">
        <f t="shared" si="17"/>
        <v>#N/A</v>
      </c>
      <c r="U21" s="68" t="e">
        <f t="shared" ref="U21:U27" si="61">12/T21</f>
        <v>#N/A</v>
      </c>
      <c r="V21" s="68" t="e">
        <f t="shared" ref="V21:V27" si="62">U21</f>
        <v>#N/A</v>
      </c>
      <c r="W21" s="46" t="e">
        <f t="shared" si="20"/>
        <v>#N/A</v>
      </c>
      <c r="X21" s="68" t="e">
        <f t="shared" ref="X21:X27" si="63">12/W21</f>
        <v>#N/A</v>
      </c>
      <c r="Y21" s="68" t="e">
        <f t="shared" ref="Y21:Y27" si="64">X21</f>
        <v>#N/A</v>
      </c>
      <c r="Z21" s="46" t="e">
        <f t="shared" si="23"/>
        <v>#N/A</v>
      </c>
      <c r="AA21" s="68" t="e">
        <f t="shared" ref="AA21:AA27" si="65">12/Z21</f>
        <v>#N/A</v>
      </c>
      <c r="AB21" s="68" t="e">
        <f t="shared" ref="AB21:AB27" si="66">AA21</f>
        <v>#N/A</v>
      </c>
      <c r="AC21" s="46" t="e">
        <f t="shared" si="26"/>
        <v>#N/A</v>
      </c>
      <c r="AD21" s="68" t="e">
        <f t="shared" ref="AD21:AD27" si="67">12/AC21</f>
        <v>#N/A</v>
      </c>
      <c r="AE21" s="68" t="e">
        <f t="shared" ref="AE21:AE27" si="68">AD21</f>
        <v>#N/A</v>
      </c>
      <c r="AF21" s="46" t="e">
        <f t="shared" si="29"/>
        <v>#N/A</v>
      </c>
      <c r="AG21" s="68" t="e">
        <f t="shared" ref="AG21:AG27" si="69">12/AF21</f>
        <v>#N/A</v>
      </c>
      <c r="AH21" s="68" t="e">
        <f t="shared" ref="AH21:AH27" si="70">AG21</f>
        <v>#N/A</v>
      </c>
      <c r="AI21" s="46" t="e">
        <f t="shared" si="32"/>
        <v>#N/A</v>
      </c>
      <c r="AJ21" s="68" t="e">
        <f t="shared" ref="AJ21:AJ27" si="71">12/AI21</f>
        <v>#N/A</v>
      </c>
      <c r="AK21" s="68" t="e">
        <f t="shared" ref="AK21:AK27" si="72">AJ21</f>
        <v>#N/A</v>
      </c>
      <c r="AL21" s="46" t="e">
        <f t="shared" si="35"/>
        <v>#N/A</v>
      </c>
      <c r="AM21" s="68" t="e">
        <f t="shared" ref="AM21:AM27" si="73">12/AL21</f>
        <v>#N/A</v>
      </c>
      <c r="AN21" s="68" t="e">
        <f t="shared" ref="AN21:AN27" si="74">AM21</f>
        <v>#N/A</v>
      </c>
      <c r="AO21" s="46" t="e">
        <f t="shared" si="38"/>
        <v>#N/A</v>
      </c>
      <c r="AP21" s="68" t="e">
        <f t="shared" ref="AP21:AP27" si="75">12/AO21</f>
        <v>#N/A</v>
      </c>
      <c r="AQ21" s="68" t="e">
        <f t="shared" ref="AQ21:AQ27" si="76">AP21</f>
        <v>#N/A</v>
      </c>
      <c r="AR21" s="46" t="e">
        <f t="shared" si="41"/>
        <v>#N/A</v>
      </c>
      <c r="AS21" s="68" t="e">
        <f t="shared" ref="AS21:AS27" si="77">12/AR21</f>
        <v>#N/A</v>
      </c>
      <c r="AT21" s="68" t="e">
        <f t="shared" ref="AT21:AT27" si="78">AS21</f>
        <v>#N/A</v>
      </c>
      <c r="AU21" s="46" t="e">
        <f t="shared" si="44"/>
        <v>#N/A</v>
      </c>
      <c r="AV21" s="68" t="e">
        <f t="shared" ref="AV21:AV27" si="79">12/AU21</f>
        <v>#N/A</v>
      </c>
      <c r="AW21" s="68" t="e">
        <f t="shared" ref="AW21:AW27" si="80">AV21</f>
        <v>#N/A</v>
      </c>
      <c r="AX21" s="37"/>
      <c r="AY21" s="44"/>
    </row>
    <row r="22" spans="1:51" ht="14.25" customHeight="1" x14ac:dyDescent="0.25">
      <c r="A22" s="43">
        <v>2012</v>
      </c>
      <c r="B22" s="46" t="e">
        <f t="shared" si="0"/>
        <v>#N/A</v>
      </c>
      <c r="C22" s="68" t="e">
        <f t="shared" si="51"/>
        <v>#N/A</v>
      </c>
      <c r="D22" s="68" t="e">
        <f t="shared" si="52"/>
        <v>#N/A</v>
      </c>
      <c r="E22" s="46" t="e">
        <f t="shared" si="47"/>
        <v>#N/A</v>
      </c>
      <c r="F22" s="68" t="e">
        <f t="shared" si="48"/>
        <v>#N/A</v>
      </c>
      <c r="G22" s="68" t="e">
        <f t="shared" si="49"/>
        <v>#N/A</v>
      </c>
      <c r="H22" s="46" t="e">
        <f t="shared" si="5"/>
        <v>#N/A</v>
      </c>
      <c r="I22" s="68" t="e">
        <f t="shared" si="53"/>
        <v>#N/A</v>
      </c>
      <c r="J22" s="68" t="e">
        <f t="shared" si="54"/>
        <v>#N/A</v>
      </c>
      <c r="K22" s="46" t="e">
        <f t="shared" si="8"/>
        <v>#N/A</v>
      </c>
      <c r="L22" s="68" t="e">
        <f t="shared" si="55"/>
        <v>#N/A</v>
      </c>
      <c r="M22" s="68" t="e">
        <f t="shared" si="56"/>
        <v>#N/A</v>
      </c>
      <c r="N22" s="46" t="e">
        <f t="shared" si="11"/>
        <v>#N/A</v>
      </c>
      <c r="O22" s="68" t="e">
        <f t="shared" si="57"/>
        <v>#N/A</v>
      </c>
      <c r="P22" s="68" t="e">
        <f t="shared" si="58"/>
        <v>#N/A</v>
      </c>
      <c r="Q22" s="46" t="e">
        <f t="shared" si="14"/>
        <v>#N/A</v>
      </c>
      <c r="R22" s="68" t="e">
        <f t="shared" si="59"/>
        <v>#N/A</v>
      </c>
      <c r="S22" s="68" t="e">
        <f t="shared" si="60"/>
        <v>#N/A</v>
      </c>
      <c r="T22" s="46" t="e">
        <f t="shared" si="17"/>
        <v>#N/A</v>
      </c>
      <c r="U22" s="68" t="e">
        <f t="shared" si="61"/>
        <v>#N/A</v>
      </c>
      <c r="V22" s="68" t="e">
        <f t="shared" si="62"/>
        <v>#N/A</v>
      </c>
      <c r="W22" s="46" t="e">
        <f t="shared" si="20"/>
        <v>#N/A</v>
      </c>
      <c r="X22" s="68" t="e">
        <f t="shared" si="63"/>
        <v>#N/A</v>
      </c>
      <c r="Y22" s="68" t="e">
        <f t="shared" si="64"/>
        <v>#N/A</v>
      </c>
      <c r="Z22" s="46" t="e">
        <f t="shared" si="23"/>
        <v>#N/A</v>
      </c>
      <c r="AA22" s="68" t="e">
        <f t="shared" si="65"/>
        <v>#N/A</v>
      </c>
      <c r="AB22" s="68" t="e">
        <f t="shared" si="66"/>
        <v>#N/A</v>
      </c>
      <c r="AC22" s="46" t="e">
        <f t="shared" si="26"/>
        <v>#N/A</v>
      </c>
      <c r="AD22" s="68" t="e">
        <f t="shared" si="67"/>
        <v>#N/A</v>
      </c>
      <c r="AE22" s="68" t="e">
        <f t="shared" si="68"/>
        <v>#N/A</v>
      </c>
      <c r="AF22" s="46" t="e">
        <f t="shared" si="29"/>
        <v>#N/A</v>
      </c>
      <c r="AG22" s="68" t="e">
        <f t="shared" si="69"/>
        <v>#N/A</v>
      </c>
      <c r="AH22" s="68" t="e">
        <f t="shared" si="70"/>
        <v>#N/A</v>
      </c>
      <c r="AI22" s="46" t="e">
        <f t="shared" si="32"/>
        <v>#N/A</v>
      </c>
      <c r="AJ22" s="68" t="e">
        <f t="shared" si="71"/>
        <v>#N/A</v>
      </c>
      <c r="AK22" s="68" t="e">
        <f t="shared" si="72"/>
        <v>#N/A</v>
      </c>
      <c r="AL22" s="46" t="e">
        <f t="shared" si="35"/>
        <v>#N/A</v>
      </c>
      <c r="AM22" s="68" t="e">
        <f t="shared" si="73"/>
        <v>#N/A</v>
      </c>
      <c r="AN22" s="68" t="e">
        <f t="shared" si="74"/>
        <v>#N/A</v>
      </c>
      <c r="AO22" s="46" t="e">
        <f t="shared" si="38"/>
        <v>#N/A</v>
      </c>
      <c r="AP22" s="68" t="e">
        <f t="shared" si="75"/>
        <v>#N/A</v>
      </c>
      <c r="AQ22" s="68" t="e">
        <f t="shared" si="76"/>
        <v>#N/A</v>
      </c>
      <c r="AR22" s="46" t="e">
        <f t="shared" si="41"/>
        <v>#N/A</v>
      </c>
      <c r="AS22" s="68" t="e">
        <f t="shared" si="77"/>
        <v>#N/A</v>
      </c>
      <c r="AT22" s="68" t="e">
        <f t="shared" si="78"/>
        <v>#N/A</v>
      </c>
      <c r="AU22" s="46" t="e">
        <f t="shared" si="44"/>
        <v>#N/A</v>
      </c>
      <c r="AV22" s="68" t="e">
        <f t="shared" si="79"/>
        <v>#N/A</v>
      </c>
      <c r="AW22" s="68" t="e">
        <f t="shared" si="80"/>
        <v>#N/A</v>
      </c>
      <c r="AX22" s="37"/>
      <c r="AY22" s="44"/>
    </row>
    <row r="23" spans="1:51" ht="14.25" customHeight="1" x14ac:dyDescent="0.25">
      <c r="A23" s="43">
        <v>2013</v>
      </c>
      <c r="B23" s="46" t="e">
        <f t="shared" si="0"/>
        <v>#N/A</v>
      </c>
      <c r="C23" s="68" t="e">
        <f t="shared" si="51"/>
        <v>#N/A</v>
      </c>
      <c r="D23" s="68" t="e">
        <f t="shared" si="52"/>
        <v>#N/A</v>
      </c>
      <c r="E23" s="46" t="e">
        <f t="shared" si="47"/>
        <v>#N/A</v>
      </c>
      <c r="F23" s="68" t="e">
        <f t="shared" si="48"/>
        <v>#N/A</v>
      </c>
      <c r="G23" s="68" t="e">
        <f t="shared" si="49"/>
        <v>#N/A</v>
      </c>
      <c r="H23" s="46" t="e">
        <f t="shared" si="5"/>
        <v>#N/A</v>
      </c>
      <c r="I23" s="68" t="e">
        <f t="shared" si="53"/>
        <v>#N/A</v>
      </c>
      <c r="J23" s="68" t="e">
        <f t="shared" si="54"/>
        <v>#N/A</v>
      </c>
      <c r="K23" s="46" t="e">
        <f t="shared" si="8"/>
        <v>#N/A</v>
      </c>
      <c r="L23" s="68" t="e">
        <f t="shared" si="55"/>
        <v>#N/A</v>
      </c>
      <c r="M23" s="68" t="e">
        <f t="shared" si="56"/>
        <v>#N/A</v>
      </c>
      <c r="N23" s="46" t="e">
        <f t="shared" si="11"/>
        <v>#N/A</v>
      </c>
      <c r="O23" s="68" t="e">
        <f t="shared" si="57"/>
        <v>#N/A</v>
      </c>
      <c r="P23" s="68" t="e">
        <f t="shared" si="58"/>
        <v>#N/A</v>
      </c>
      <c r="Q23" s="46" t="e">
        <f t="shared" si="14"/>
        <v>#N/A</v>
      </c>
      <c r="R23" s="68" t="e">
        <f t="shared" si="59"/>
        <v>#N/A</v>
      </c>
      <c r="S23" s="68" t="e">
        <f t="shared" si="60"/>
        <v>#N/A</v>
      </c>
      <c r="T23" s="46" t="e">
        <f t="shared" si="17"/>
        <v>#N/A</v>
      </c>
      <c r="U23" s="68" t="e">
        <f t="shared" si="61"/>
        <v>#N/A</v>
      </c>
      <c r="V23" s="68" t="e">
        <f t="shared" si="62"/>
        <v>#N/A</v>
      </c>
      <c r="W23" s="46" t="e">
        <f t="shared" si="20"/>
        <v>#N/A</v>
      </c>
      <c r="X23" s="68" t="e">
        <f t="shared" si="63"/>
        <v>#N/A</v>
      </c>
      <c r="Y23" s="68" t="e">
        <f t="shared" si="64"/>
        <v>#N/A</v>
      </c>
      <c r="Z23" s="46" t="e">
        <f t="shared" si="23"/>
        <v>#N/A</v>
      </c>
      <c r="AA23" s="68" t="e">
        <f t="shared" si="65"/>
        <v>#N/A</v>
      </c>
      <c r="AB23" s="68" t="e">
        <f t="shared" si="66"/>
        <v>#N/A</v>
      </c>
      <c r="AC23" s="46" t="e">
        <f t="shared" si="26"/>
        <v>#N/A</v>
      </c>
      <c r="AD23" s="68" t="e">
        <f t="shared" si="67"/>
        <v>#N/A</v>
      </c>
      <c r="AE23" s="68" t="e">
        <f t="shared" si="68"/>
        <v>#N/A</v>
      </c>
      <c r="AF23" s="46" t="e">
        <f t="shared" si="29"/>
        <v>#N/A</v>
      </c>
      <c r="AG23" s="68" t="e">
        <f t="shared" si="69"/>
        <v>#N/A</v>
      </c>
      <c r="AH23" s="68" t="e">
        <f t="shared" si="70"/>
        <v>#N/A</v>
      </c>
      <c r="AI23" s="46" t="e">
        <f t="shared" si="32"/>
        <v>#N/A</v>
      </c>
      <c r="AJ23" s="68" t="e">
        <f t="shared" si="71"/>
        <v>#N/A</v>
      </c>
      <c r="AK23" s="68" t="e">
        <f t="shared" si="72"/>
        <v>#N/A</v>
      </c>
      <c r="AL23" s="46" t="e">
        <f t="shared" si="35"/>
        <v>#N/A</v>
      </c>
      <c r="AM23" s="68" t="e">
        <f t="shared" si="73"/>
        <v>#N/A</v>
      </c>
      <c r="AN23" s="68" t="e">
        <f t="shared" si="74"/>
        <v>#N/A</v>
      </c>
      <c r="AO23" s="46" t="e">
        <f t="shared" si="38"/>
        <v>#N/A</v>
      </c>
      <c r="AP23" s="68" t="e">
        <f t="shared" si="75"/>
        <v>#N/A</v>
      </c>
      <c r="AQ23" s="68" t="e">
        <f t="shared" si="76"/>
        <v>#N/A</v>
      </c>
      <c r="AR23" s="46" t="e">
        <f t="shared" si="41"/>
        <v>#N/A</v>
      </c>
      <c r="AS23" s="68" t="e">
        <f t="shared" si="77"/>
        <v>#N/A</v>
      </c>
      <c r="AT23" s="68" t="e">
        <f t="shared" si="78"/>
        <v>#N/A</v>
      </c>
      <c r="AU23" s="46" t="e">
        <f t="shared" si="44"/>
        <v>#N/A</v>
      </c>
      <c r="AV23" s="68" t="e">
        <f t="shared" si="79"/>
        <v>#N/A</v>
      </c>
      <c r="AW23" s="68" t="e">
        <f t="shared" si="80"/>
        <v>#N/A</v>
      </c>
      <c r="AX23" s="37"/>
      <c r="AY23" s="44"/>
    </row>
    <row r="24" spans="1:51" ht="14.25" customHeight="1" x14ac:dyDescent="0.25">
      <c r="A24" s="43">
        <v>2014</v>
      </c>
      <c r="B24" s="46" t="e">
        <f t="shared" si="0"/>
        <v>#N/A</v>
      </c>
      <c r="C24" s="68" t="e">
        <f t="shared" si="51"/>
        <v>#N/A</v>
      </c>
      <c r="D24" s="68" t="e">
        <f t="shared" si="52"/>
        <v>#N/A</v>
      </c>
      <c r="E24" s="46" t="e">
        <f t="shared" si="47"/>
        <v>#N/A</v>
      </c>
      <c r="F24" s="68" t="e">
        <f t="shared" si="48"/>
        <v>#N/A</v>
      </c>
      <c r="G24" s="68" t="e">
        <f t="shared" si="49"/>
        <v>#N/A</v>
      </c>
      <c r="H24" s="46" t="e">
        <f t="shared" si="5"/>
        <v>#N/A</v>
      </c>
      <c r="I24" s="68" t="e">
        <f t="shared" si="53"/>
        <v>#N/A</v>
      </c>
      <c r="J24" s="68" t="e">
        <f t="shared" si="54"/>
        <v>#N/A</v>
      </c>
      <c r="K24" s="46" t="e">
        <f t="shared" si="8"/>
        <v>#N/A</v>
      </c>
      <c r="L24" s="68" t="e">
        <f t="shared" si="55"/>
        <v>#N/A</v>
      </c>
      <c r="M24" s="68" t="e">
        <f t="shared" si="56"/>
        <v>#N/A</v>
      </c>
      <c r="N24" s="46" t="e">
        <f t="shared" si="11"/>
        <v>#N/A</v>
      </c>
      <c r="O24" s="68" t="e">
        <f t="shared" si="57"/>
        <v>#N/A</v>
      </c>
      <c r="P24" s="68" t="e">
        <f t="shared" si="58"/>
        <v>#N/A</v>
      </c>
      <c r="Q24" s="46" t="e">
        <f t="shared" si="14"/>
        <v>#N/A</v>
      </c>
      <c r="R24" s="68" t="e">
        <f t="shared" si="59"/>
        <v>#N/A</v>
      </c>
      <c r="S24" s="68" t="e">
        <f t="shared" si="60"/>
        <v>#N/A</v>
      </c>
      <c r="T24" s="46" t="e">
        <f t="shared" si="17"/>
        <v>#N/A</v>
      </c>
      <c r="U24" s="68" t="e">
        <f t="shared" si="61"/>
        <v>#N/A</v>
      </c>
      <c r="V24" s="68" t="e">
        <f t="shared" si="62"/>
        <v>#N/A</v>
      </c>
      <c r="W24" s="46" t="e">
        <f t="shared" si="20"/>
        <v>#N/A</v>
      </c>
      <c r="X24" s="68" t="e">
        <f t="shared" si="63"/>
        <v>#N/A</v>
      </c>
      <c r="Y24" s="68" t="e">
        <f t="shared" si="64"/>
        <v>#N/A</v>
      </c>
      <c r="Z24" s="46" t="e">
        <f t="shared" si="23"/>
        <v>#N/A</v>
      </c>
      <c r="AA24" s="68" t="e">
        <f t="shared" si="65"/>
        <v>#N/A</v>
      </c>
      <c r="AB24" s="68" t="e">
        <f t="shared" si="66"/>
        <v>#N/A</v>
      </c>
      <c r="AC24" s="46" t="e">
        <f t="shared" si="26"/>
        <v>#N/A</v>
      </c>
      <c r="AD24" s="68" t="e">
        <f t="shared" si="67"/>
        <v>#N/A</v>
      </c>
      <c r="AE24" s="68" t="e">
        <f t="shared" si="68"/>
        <v>#N/A</v>
      </c>
      <c r="AF24" s="46" t="e">
        <f t="shared" si="29"/>
        <v>#N/A</v>
      </c>
      <c r="AG24" s="68" t="e">
        <f t="shared" si="69"/>
        <v>#N/A</v>
      </c>
      <c r="AH24" s="68" t="e">
        <f t="shared" si="70"/>
        <v>#N/A</v>
      </c>
      <c r="AI24" s="46" t="e">
        <f t="shared" si="32"/>
        <v>#N/A</v>
      </c>
      <c r="AJ24" s="68" t="e">
        <f t="shared" si="71"/>
        <v>#N/A</v>
      </c>
      <c r="AK24" s="68" t="e">
        <f t="shared" si="72"/>
        <v>#N/A</v>
      </c>
      <c r="AL24" s="46" t="e">
        <f t="shared" si="35"/>
        <v>#N/A</v>
      </c>
      <c r="AM24" s="68" t="e">
        <f t="shared" si="73"/>
        <v>#N/A</v>
      </c>
      <c r="AN24" s="68" t="e">
        <f t="shared" si="74"/>
        <v>#N/A</v>
      </c>
      <c r="AO24" s="46" t="e">
        <f t="shared" si="38"/>
        <v>#N/A</v>
      </c>
      <c r="AP24" s="68" t="e">
        <f t="shared" si="75"/>
        <v>#N/A</v>
      </c>
      <c r="AQ24" s="68" t="e">
        <f t="shared" si="76"/>
        <v>#N/A</v>
      </c>
      <c r="AR24" s="46" t="e">
        <f t="shared" si="41"/>
        <v>#N/A</v>
      </c>
      <c r="AS24" s="68" t="e">
        <f t="shared" si="77"/>
        <v>#N/A</v>
      </c>
      <c r="AT24" s="68" t="e">
        <f t="shared" si="78"/>
        <v>#N/A</v>
      </c>
      <c r="AU24" s="46" t="e">
        <f t="shared" si="44"/>
        <v>#N/A</v>
      </c>
      <c r="AV24" s="68" t="e">
        <f t="shared" si="79"/>
        <v>#N/A</v>
      </c>
      <c r="AW24" s="68" t="e">
        <f t="shared" si="80"/>
        <v>#N/A</v>
      </c>
      <c r="AX24" s="37"/>
      <c r="AY24" s="44"/>
    </row>
    <row r="25" spans="1:51" ht="14.25" customHeight="1" x14ac:dyDescent="0.25">
      <c r="A25" s="43">
        <v>2015</v>
      </c>
      <c r="B25" s="46" t="e">
        <f t="shared" si="0"/>
        <v>#N/A</v>
      </c>
      <c r="C25" s="68" t="e">
        <f t="shared" si="51"/>
        <v>#N/A</v>
      </c>
      <c r="D25" s="68" t="e">
        <f t="shared" si="52"/>
        <v>#N/A</v>
      </c>
      <c r="E25" s="46" t="e">
        <f t="shared" si="47"/>
        <v>#N/A</v>
      </c>
      <c r="F25" s="68" t="e">
        <f t="shared" si="48"/>
        <v>#N/A</v>
      </c>
      <c r="G25" s="68" t="e">
        <f t="shared" si="49"/>
        <v>#N/A</v>
      </c>
      <c r="H25" s="46" t="e">
        <f t="shared" si="5"/>
        <v>#N/A</v>
      </c>
      <c r="I25" s="68" t="e">
        <f t="shared" si="53"/>
        <v>#N/A</v>
      </c>
      <c r="J25" s="68" t="e">
        <f t="shared" si="54"/>
        <v>#N/A</v>
      </c>
      <c r="K25" s="46" t="e">
        <f t="shared" si="8"/>
        <v>#N/A</v>
      </c>
      <c r="L25" s="68" t="e">
        <f t="shared" si="55"/>
        <v>#N/A</v>
      </c>
      <c r="M25" s="68" t="e">
        <f t="shared" si="56"/>
        <v>#N/A</v>
      </c>
      <c r="N25" s="46" t="e">
        <f t="shared" si="11"/>
        <v>#N/A</v>
      </c>
      <c r="O25" s="68" t="e">
        <f t="shared" si="57"/>
        <v>#N/A</v>
      </c>
      <c r="P25" s="68" t="e">
        <f t="shared" si="58"/>
        <v>#N/A</v>
      </c>
      <c r="Q25" s="46" t="e">
        <f t="shared" si="14"/>
        <v>#N/A</v>
      </c>
      <c r="R25" s="68" t="e">
        <f t="shared" si="59"/>
        <v>#N/A</v>
      </c>
      <c r="S25" s="68" t="e">
        <f t="shared" si="60"/>
        <v>#N/A</v>
      </c>
      <c r="T25" s="46" t="e">
        <f t="shared" si="17"/>
        <v>#N/A</v>
      </c>
      <c r="U25" s="68" t="e">
        <f t="shared" si="61"/>
        <v>#N/A</v>
      </c>
      <c r="V25" s="68" t="e">
        <f t="shared" si="62"/>
        <v>#N/A</v>
      </c>
      <c r="W25" s="46" t="e">
        <f t="shared" si="20"/>
        <v>#N/A</v>
      </c>
      <c r="X25" s="68" t="e">
        <f t="shared" si="63"/>
        <v>#N/A</v>
      </c>
      <c r="Y25" s="68" t="e">
        <f t="shared" si="64"/>
        <v>#N/A</v>
      </c>
      <c r="Z25" s="46" t="e">
        <f t="shared" si="23"/>
        <v>#N/A</v>
      </c>
      <c r="AA25" s="68" t="e">
        <f t="shared" si="65"/>
        <v>#N/A</v>
      </c>
      <c r="AB25" s="68" t="e">
        <f t="shared" si="66"/>
        <v>#N/A</v>
      </c>
      <c r="AC25" s="46" t="e">
        <f t="shared" si="26"/>
        <v>#N/A</v>
      </c>
      <c r="AD25" s="68" t="e">
        <f t="shared" si="67"/>
        <v>#N/A</v>
      </c>
      <c r="AE25" s="68" t="e">
        <f t="shared" si="68"/>
        <v>#N/A</v>
      </c>
      <c r="AF25" s="46" t="e">
        <f t="shared" si="29"/>
        <v>#N/A</v>
      </c>
      <c r="AG25" s="68" t="e">
        <f t="shared" si="69"/>
        <v>#N/A</v>
      </c>
      <c r="AH25" s="68" t="e">
        <f t="shared" si="70"/>
        <v>#N/A</v>
      </c>
      <c r="AI25" s="46" t="e">
        <f t="shared" si="32"/>
        <v>#N/A</v>
      </c>
      <c r="AJ25" s="68" t="e">
        <f t="shared" si="71"/>
        <v>#N/A</v>
      </c>
      <c r="AK25" s="68" t="e">
        <f t="shared" si="72"/>
        <v>#N/A</v>
      </c>
      <c r="AL25" s="46" t="e">
        <f t="shared" si="35"/>
        <v>#N/A</v>
      </c>
      <c r="AM25" s="68" t="e">
        <f t="shared" si="73"/>
        <v>#N/A</v>
      </c>
      <c r="AN25" s="68" t="e">
        <f t="shared" si="74"/>
        <v>#N/A</v>
      </c>
      <c r="AO25" s="46" t="e">
        <f t="shared" si="38"/>
        <v>#N/A</v>
      </c>
      <c r="AP25" s="68" t="e">
        <f t="shared" si="75"/>
        <v>#N/A</v>
      </c>
      <c r="AQ25" s="68" t="e">
        <f t="shared" si="76"/>
        <v>#N/A</v>
      </c>
      <c r="AR25" s="46" t="e">
        <f t="shared" si="41"/>
        <v>#N/A</v>
      </c>
      <c r="AS25" s="68" t="e">
        <f t="shared" si="77"/>
        <v>#N/A</v>
      </c>
      <c r="AT25" s="68" t="e">
        <f t="shared" si="78"/>
        <v>#N/A</v>
      </c>
      <c r="AU25" s="46" t="e">
        <f t="shared" si="44"/>
        <v>#N/A</v>
      </c>
      <c r="AV25" s="68" t="e">
        <f t="shared" si="79"/>
        <v>#N/A</v>
      </c>
      <c r="AW25" s="68" t="e">
        <f t="shared" si="80"/>
        <v>#N/A</v>
      </c>
      <c r="AX25" s="37"/>
      <c r="AY25" s="44"/>
    </row>
    <row r="26" spans="1:51" ht="14.25" customHeight="1" x14ac:dyDescent="0.25">
      <c r="A26" s="43">
        <v>2016</v>
      </c>
      <c r="B26" s="46" t="e">
        <f t="shared" si="0"/>
        <v>#N/A</v>
      </c>
      <c r="C26" s="68" t="e">
        <f t="shared" si="51"/>
        <v>#N/A</v>
      </c>
      <c r="D26" s="68" t="e">
        <f t="shared" si="52"/>
        <v>#N/A</v>
      </c>
      <c r="E26" s="46" t="e">
        <f t="shared" si="47"/>
        <v>#N/A</v>
      </c>
      <c r="F26" s="68" t="e">
        <f t="shared" si="48"/>
        <v>#N/A</v>
      </c>
      <c r="G26" s="68" t="e">
        <f t="shared" si="49"/>
        <v>#N/A</v>
      </c>
      <c r="H26" s="46" t="e">
        <f t="shared" si="5"/>
        <v>#N/A</v>
      </c>
      <c r="I26" s="68" t="e">
        <f t="shared" si="53"/>
        <v>#N/A</v>
      </c>
      <c r="J26" s="68" t="e">
        <f t="shared" si="54"/>
        <v>#N/A</v>
      </c>
      <c r="K26" s="46" t="e">
        <f t="shared" si="8"/>
        <v>#N/A</v>
      </c>
      <c r="L26" s="68" t="e">
        <f t="shared" si="55"/>
        <v>#N/A</v>
      </c>
      <c r="M26" s="68" t="e">
        <f t="shared" si="56"/>
        <v>#N/A</v>
      </c>
      <c r="N26" s="46" t="e">
        <f t="shared" si="11"/>
        <v>#N/A</v>
      </c>
      <c r="O26" s="68" t="e">
        <f t="shared" si="57"/>
        <v>#N/A</v>
      </c>
      <c r="P26" s="68" t="e">
        <f t="shared" si="58"/>
        <v>#N/A</v>
      </c>
      <c r="Q26" s="46" t="e">
        <f t="shared" si="14"/>
        <v>#N/A</v>
      </c>
      <c r="R26" s="68" t="e">
        <f t="shared" si="59"/>
        <v>#N/A</v>
      </c>
      <c r="S26" s="68" t="e">
        <f t="shared" si="60"/>
        <v>#N/A</v>
      </c>
      <c r="T26" s="46" t="e">
        <f t="shared" si="17"/>
        <v>#N/A</v>
      </c>
      <c r="U26" s="68" t="e">
        <f t="shared" si="61"/>
        <v>#N/A</v>
      </c>
      <c r="V26" s="68" t="e">
        <f t="shared" si="62"/>
        <v>#N/A</v>
      </c>
      <c r="W26" s="46" t="e">
        <f t="shared" si="20"/>
        <v>#N/A</v>
      </c>
      <c r="X26" s="68" t="e">
        <f t="shared" si="63"/>
        <v>#N/A</v>
      </c>
      <c r="Y26" s="68" t="e">
        <f t="shared" si="64"/>
        <v>#N/A</v>
      </c>
      <c r="Z26" s="46" t="e">
        <f t="shared" si="23"/>
        <v>#N/A</v>
      </c>
      <c r="AA26" s="68" t="e">
        <f t="shared" si="65"/>
        <v>#N/A</v>
      </c>
      <c r="AB26" s="68" t="e">
        <f t="shared" si="66"/>
        <v>#N/A</v>
      </c>
      <c r="AC26" s="46" t="e">
        <f t="shared" si="26"/>
        <v>#N/A</v>
      </c>
      <c r="AD26" s="68" t="e">
        <f t="shared" si="67"/>
        <v>#N/A</v>
      </c>
      <c r="AE26" s="68" t="e">
        <f t="shared" si="68"/>
        <v>#N/A</v>
      </c>
      <c r="AF26" s="46" t="e">
        <f t="shared" si="29"/>
        <v>#N/A</v>
      </c>
      <c r="AG26" s="68" t="e">
        <f t="shared" si="69"/>
        <v>#N/A</v>
      </c>
      <c r="AH26" s="68" t="e">
        <f t="shared" si="70"/>
        <v>#N/A</v>
      </c>
      <c r="AI26" s="46" t="e">
        <f t="shared" si="32"/>
        <v>#N/A</v>
      </c>
      <c r="AJ26" s="68" t="e">
        <f t="shared" si="71"/>
        <v>#N/A</v>
      </c>
      <c r="AK26" s="68" t="e">
        <f t="shared" si="72"/>
        <v>#N/A</v>
      </c>
      <c r="AL26" s="46" t="e">
        <f t="shared" si="35"/>
        <v>#N/A</v>
      </c>
      <c r="AM26" s="68" t="e">
        <f t="shared" si="73"/>
        <v>#N/A</v>
      </c>
      <c r="AN26" s="68" t="e">
        <f t="shared" si="74"/>
        <v>#N/A</v>
      </c>
      <c r="AO26" s="46" t="e">
        <f t="shared" si="38"/>
        <v>#N/A</v>
      </c>
      <c r="AP26" s="68" t="e">
        <f t="shared" si="75"/>
        <v>#N/A</v>
      </c>
      <c r="AQ26" s="68" t="e">
        <f t="shared" si="76"/>
        <v>#N/A</v>
      </c>
      <c r="AR26" s="46" t="e">
        <f t="shared" si="41"/>
        <v>#N/A</v>
      </c>
      <c r="AS26" s="68" t="e">
        <f t="shared" si="77"/>
        <v>#N/A</v>
      </c>
      <c r="AT26" s="68" t="e">
        <f t="shared" si="78"/>
        <v>#N/A</v>
      </c>
      <c r="AU26" s="46" t="e">
        <f t="shared" si="44"/>
        <v>#N/A</v>
      </c>
      <c r="AV26" s="68" t="e">
        <f t="shared" si="79"/>
        <v>#N/A</v>
      </c>
      <c r="AW26" s="68" t="e">
        <f t="shared" si="80"/>
        <v>#N/A</v>
      </c>
      <c r="AX26" s="37"/>
      <c r="AY26" s="44"/>
    </row>
    <row r="27" spans="1:51" ht="14.25" customHeight="1" x14ac:dyDescent="0.25">
      <c r="A27" s="43">
        <v>2017</v>
      </c>
      <c r="B27" s="46" t="e">
        <f t="shared" si="0"/>
        <v>#N/A</v>
      </c>
      <c r="C27" s="68" t="e">
        <f t="shared" si="51"/>
        <v>#N/A</v>
      </c>
      <c r="D27" s="68" t="e">
        <f t="shared" si="52"/>
        <v>#N/A</v>
      </c>
      <c r="E27" s="46" t="e">
        <f t="shared" si="47"/>
        <v>#N/A</v>
      </c>
      <c r="F27" s="68" t="e">
        <f t="shared" si="48"/>
        <v>#N/A</v>
      </c>
      <c r="G27" s="68" t="e">
        <f t="shared" si="49"/>
        <v>#N/A</v>
      </c>
      <c r="H27" s="46" t="e">
        <f t="shared" si="5"/>
        <v>#N/A</v>
      </c>
      <c r="I27" s="68" t="e">
        <f t="shared" si="53"/>
        <v>#N/A</v>
      </c>
      <c r="J27" s="68" t="e">
        <f t="shared" si="54"/>
        <v>#N/A</v>
      </c>
      <c r="K27" s="46" t="e">
        <f t="shared" si="8"/>
        <v>#N/A</v>
      </c>
      <c r="L27" s="68" t="e">
        <f t="shared" si="55"/>
        <v>#N/A</v>
      </c>
      <c r="M27" s="68" t="e">
        <f t="shared" si="56"/>
        <v>#N/A</v>
      </c>
      <c r="N27" s="46" t="e">
        <f t="shared" si="11"/>
        <v>#N/A</v>
      </c>
      <c r="O27" s="68" t="e">
        <f t="shared" si="57"/>
        <v>#N/A</v>
      </c>
      <c r="P27" s="68" t="e">
        <f t="shared" si="58"/>
        <v>#N/A</v>
      </c>
      <c r="Q27" s="46" t="e">
        <f t="shared" si="14"/>
        <v>#N/A</v>
      </c>
      <c r="R27" s="68" t="e">
        <f t="shared" si="59"/>
        <v>#N/A</v>
      </c>
      <c r="S27" s="68" t="e">
        <f t="shared" si="60"/>
        <v>#N/A</v>
      </c>
      <c r="T27" s="46" t="e">
        <f t="shared" si="17"/>
        <v>#N/A</v>
      </c>
      <c r="U27" s="68" t="e">
        <f t="shared" si="61"/>
        <v>#N/A</v>
      </c>
      <c r="V27" s="68" t="e">
        <f t="shared" si="62"/>
        <v>#N/A</v>
      </c>
      <c r="W27" s="46" t="e">
        <f t="shared" si="20"/>
        <v>#N/A</v>
      </c>
      <c r="X27" s="68" t="e">
        <f t="shared" si="63"/>
        <v>#N/A</v>
      </c>
      <c r="Y27" s="68" t="e">
        <f t="shared" si="64"/>
        <v>#N/A</v>
      </c>
      <c r="Z27" s="46" t="e">
        <f t="shared" si="23"/>
        <v>#N/A</v>
      </c>
      <c r="AA27" s="68" t="e">
        <f t="shared" si="65"/>
        <v>#N/A</v>
      </c>
      <c r="AB27" s="68" t="e">
        <f t="shared" si="66"/>
        <v>#N/A</v>
      </c>
      <c r="AC27" s="46" t="e">
        <f t="shared" si="26"/>
        <v>#N/A</v>
      </c>
      <c r="AD27" s="68" t="e">
        <f t="shared" si="67"/>
        <v>#N/A</v>
      </c>
      <c r="AE27" s="68" t="e">
        <f t="shared" si="68"/>
        <v>#N/A</v>
      </c>
      <c r="AF27" s="46" t="e">
        <f t="shared" si="29"/>
        <v>#N/A</v>
      </c>
      <c r="AG27" s="68" t="e">
        <f t="shared" si="69"/>
        <v>#N/A</v>
      </c>
      <c r="AH27" s="68" t="e">
        <f t="shared" si="70"/>
        <v>#N/A</v>
      </c>
      <c r="AI27" s="46" t="e">
        <f t="shared" si="32"/>
        <v>#N/A</v>
      </c>
      <c r="AJ27" s="68" t="e">
        <f t="shared" si="71"/>
        <v>#N/A</v>
      </c>
      <c r="AK27" s="68" t="e">
        <f t="shared" si="72"/>
        <v>#N/A</v>
      </c>
      <c r="AL27" s="46" t="e">
        <f t="shared" si="35"/>
        <v>#N/A</v>
      </c>
      <c r="AM27" s="68" t="e">
        <f t="shared" si="73"/>
        <v>#N/A</v>
      </c>
      <c r="AN27" s="68" t="e">
        <f t="shared" si="74"/>
        <v>#N/A</v>
      </c>
      <c r="AO27" s="46" t="e">
        <f t="shared" si="38"/>
        <v>#N/A</v>
      </c>
      <c r="AP27" s="68" t="e">
        <f t="shared" si="75"/>
        <v>#N/A</v>
      </c>
      <c r="AQ27" s="68" t="e">
        <f t="shared" si="76"/>
        <v>#N/A</v>
      </c>
      <c r="AR27" s="46" t="e">
        <f t="shared" si="41"/>
        <v>#N/A</v>
      </c>
      <c r="AS27" s="68" t="e">
        <f t="shared" si="77"/>
        <v>#N/A</v>
      </c>
      <c r="AT27" s="68" t="e">
        <f t="shared" si="78"/>
        <v>#N/A</v>
      </c>
      <c r="AU27" s="46" t="e">
        <f t="shared" si="44"/>
        <v>#N/A</v>
      </c>
      <c r="AV27" s="68" t="e">
        <f t="shared" si="79"/>
        <v>#N/A</v>
      </c>
      <c r="AW27" s="68" t="e">
        <f t="shared" si="80"/>
        <v>#N/A</v>
      </c>
      <c r="AX27" s="37"/>
      <c r="AY27" s="44"/>
    </row>
    <row r="28" spans="1:51" ht="14.25" customHeight="1" x14ac:dyDescent="0.25">
      <c r="A28" s="43">
        <v>2018</v>
      </c>
      <c r="B28" s="46" t="e">
        <f>INDEX(B$36:B$37,MATCH(TRM,$A$36:$A$37,0))</f>
        <v>#N/A</v>
      </c>
      <c r="C28" s="68" t="e">
        <f t="shared" si="1"/>
        <v>#N/A</v>
      </c>
      <c r="D28" s="68" t="e">
        <f t="shared" si="2"/>
        <v>#N/A</v>
      </c>
      <c r="E28" s="46" t="e">
        <f t="shared" si="47"/>
        <v>#N/A</v>
      </c>
      <c r="F28" s="68" t="e">
        <f t="shared" si="48"/>
        <v>#N/A</v>
      </c>
      <c r="G28" s="68" t="e">
        <f t="shared" si="49"/>
        <v>#N/A</v>
      </c>
      <c r="H28" s="46" t="e">
        <f t="shared" si="5"/>
        <v>#N/A</v>
      </c>
      <c r="I28" s="68" t="e">
        <f t="shared" si="50"/>
        <v>#N/A</v>
      </c>
      <c r="J28" s="68" t="e">
        <f t="shared" si="7"/>
        <v>#N/A</v>
      </c>
      <c r="K28" s="46" t="e">
        <f t="shared" si="8"/>
        <v>#N/A</v>
      </c>
      <c r="L28" s="68" t="e">
        <f t="shared" si="9"/>
        <v>#N/A</v>
      </c>
      <c r="M28" s="68" t="e">
        <f t="shared" si="10"/>
        <v>#N/A</v>
      </c>
      <c r="N28" s="46" t="e">
        <f t="shared" si="11"/>
        <v>#N/A</v>
      </c>
      <c r="O28" s="68" t="e">
        <f t="shared" si="12"/>
        <v>#N/A</v>
      </c>
      <c r="P28" s="68" t="e">
        <f t="shared" si="13"/>
        <v>#N/A</v>
      </c>
      <c r="Q28" s="46" t="e">
        <f t="shared" si="14"/>
        <v>#N/A</v>
      </c>
      <c r="R28" s="68" t="e">
        <f t="shared" si="15"/>
        <v>#N/A</v>
      </c>
      <c r="S28" s="68" t="e">
        <f t="shared" si="16"/>
        <v>#N/A</v>
      </c>
      <c r="T28" s="46" t="e">
        <f t="shared" si="17"/>
        <v>#N/A</v>
      </c>
      <c r="U28" s="68" t="e">
        <f t="shared" si="18"/>
        <v>#N/A</v>
      </c>
      <c r="V28" s="68" t="e">
        <f t="shared" si="19"/>
        <v>#N/A</v>
      </c>
      <c r="W28" s="46" t="e">
        <f t="shared" si="20"/>
        <v>#N/A</v>
      </c>
      <c r="X28" s="68" t="e">
        <f t="shared" si="21"/>
        <v>#N/A</v>
      </c>
      <c r="Y28" s="68" t="e">
        <f t="shared" si="22"/>
        <v>#N/A</v>
      </c>
      <c r="Z28" s="46" t="e">
        <f t="shared" si="23"/>
        <v>#N/A</v>
      </c>
      <c r="AA28" s="68" t="e">
        <f t="shared" si="24"/>
        <v>#N/A</v>
      </c>
      <c r="AB28" s="68" t="e">
        <f t="shared" si="25"/>
        <v>#N/A</v>
      </c>
      <c r="AC28" s="46" t="e">
        <f t="shared" si="26"/>
        <v>#N/A</v>
      </c>
      <c r="AD28" s="68" t="e">
        <f t="shared" si="27"/>
        <v>#N/A</v>
      </c>
      <c r="AE28" s="68" t="e">
        <f t="shared" si="28"/>
        <v>#N/A</v>
      </c>
      <c r="AF28" s="46" t="e">
        <f t="shared" si="29"/>
        <v>#N/A</v>
      </c>
      <c r="AG28" s="68" t="e">
        <f t="shared" si="30"/>
        <v>#N/A</v>
      </c>
      <c r="AH28" s="68" t="e">
        <f t="shared" si="31"/>
        <v>#N/A</v>
      </c>
      <c r="AI28" s="46" t="e">
        <f t="shared" si="32"/>
        <v>#N/A</v>
      </c>
      <c r="AJ28" s="68" t="e">
        <f t="shared" si="33"/>
        <v>#N/A</v>
      </c>
      <c r="AK28" s="68" t="e">
        <f t="shared" si="34"/>
        <v>#N/A</v>
      </c>
      <c r="AL28" s="46" t="e">
        <f t="shared" si="35"/>
        <v>#N/A</v>
      </c>
      <c r="AM28" s="68" t="e">
        <f t="shared" si="36"/>
        <v>#N/A</v>
      </c>
      <c r="AN28" s="68" t="e">
        <f t="shared" si="37"/>
        <v>#N/A</v>
      </c>
      <c r="AO28" s="46" t="e">
        <f t="shared" si="38"/>
        <v>#N/A</v>
      </c>
      <c r="AP28" s="68" t="e">
        <f t="shared" si="39"/>
        <v>#N/A</v>
      </c>
      <c r="AQ28" s="68" t="e">
        <f t="shared" si="40"/>
        <v>#N/A</v>
      </c>
      <c r="AR28" s="46" t="e">
        <f t="shared" si="41"/>
        <v>#N/A</v>
      </c>
      <c r="AS28" s="68" t="e">
        <f t="shared" si="42"/>
        <v>#N/A</v>
      </c>
      <c r="AT28" s="68" t="e">
        <f t="shared" si="43"/>
        <v>#N/A</v>
      </c>
      <c r="AU28" s="46" t="e">
        <f t="shared" si="44"/>
        <v>#N/A</v>
      </c>
      <c r="AV28" s="68" t="e">
        <f t="shared" si="45"/>
        <v>#N/A</v>
      </c>
      <c r="AW28" s="68" t="e">
        <f t="shared" si="46"/>
        <v>#N/A</v>
      </c>
      <c r="AX28" s="37"/>
      <c r="AY28" s="44"/>
    </row>
    <row r="29" spans="1:51" ht="14.25" customHeight="1" x14ac:dyDescent="0.25">
      <c r="A29" s="43">
        <v>2019</v>
      </c>
      <c r="B29" s="46" t="e">
        <f t="shared" si="0"/>
        <v>#N/A</v>
      </c>
      <c r="C29" s="68" t="e">
        <f t="shared" si="1"/>
        <v>#N/A</v>
      </c>
      <c r="D29" s="68" t="e">
        <f t="shared" si="2"/>
        <v>#N/A</v>
      </c>
      <c r="E29" s="46" t="e">
        <f t="shared" si="47"/>
        <v>#N/A</v>
      </c>
      <c r="F29" s="68" t="e">
        <f t="shared" si="48"/>
        <v>#N/A</v>
      </c>
      <c r="G29" s="68" t="e">
        <f t="shared" si="49"/>
        <v>#N/A</v>
      </c>
      <c r="H29" s="46" t="e">
        <f t="shared" si="5"/>
        <v>#N/A</v>
      </c>
      <c r="I29" s="68" t="e">
        <f t="shared" si="50"/>
        <v>#N/A</v>
      </c>
      <c r="J29" s="68" t="e">
        <f t="shared" si="7"/>
        <v>#N/A</v>
      </c>
      <c r="K29" s="46" t="e">
        <f t="shared" si="8"/>
        <v>#N/A</v>
      </c>
      <c r="L29" s="68" t="e">
        <f t="shared" si="9"/>
        <v>#N/A</v>
      </c>
      <c r="M29" s="68" t="e">
        <f t="shared" si="10"/>
        <v>#N/A</v>
      </c>
      <c r="N29" s="46" t="e">
        <f t="shared" si="11"/>
        <v>#N/A</v>
      </c>
      <c r="O29" s="68" t="e">
        <f t="shared" si="12"/>
        <v>#N/A</v>
      </c>
      <c r="P29" s="68" t="e">
        <f t="shared" si="13"/>
        <v>#N/A</v>
      </c>
      <c r="Q29" s="46" t="e">
        <f t="shared" si="14"/>
        <v>#N/A</v>
      </c>
      <c r="R29" s="68" t="e">
        <f t="shared" si="15"/>
        <v>#N/A</v>
      </c>
      <c r="S29" s="68" t="e">
        <f t="shared" si="16"/>
        <v>#N/A</v>
      </c>
      <c r="T29" s="46" t="e">
        <f t="shared" si="17"/>
        <v>#N/A</v>
      </c>
      <c r="U29" s="68" t="e">
        <f t="shared" si="18"/>
        <v>#N/A</v>
      </c>
      <c r="V29" s="68" t="e">
        <f t="shared" si="19"/>
        <v>#N/A</v>
      </c>
      <c r="W29" s="46" t="e">
        <f t="shared" si="20"/>
        <v>#N/A</v>
      </c>
      <c r="X29" s="68" t="e">
        <f t="shared" si="21"/>
        <v>#N/A</v>
      </c>
      <c r="Y29" s="68" t="e">
        <f t="shared" si="22"/>
        <v>#N/A</v>
      </c>
      <c r="Z29" s="46" t="e">
        <f t="shared" si="23"/>
        <v>#N/A</v>
      </c>
      <c r="AA29" s="68" t="e">
        <f t="shared" si="24"/>
        <v>#N/A</v>
      </c>
      <c r="AB29" s="68" t="e">
        <f t="shared" si="25"/>
        <v>#N/A</v>
      </c>
      <c r="AC29" s="46" t="e">
        <f t="shared" si="26"/>
        <v>#N/A</v>
      </c>
      <c r="AD29" s="68" t="e">
        <f t="shared" si="27"/>
        <v>#N/A</v>
      </c>
      <c r="AE29" s="68" t="e">
        <f t="shared" si="28"/>
        <v>#N/A</v>
      </c>
      <c r="AF29" s="46" t="e">
        <f t="shared" si="29"/>
        <v>#N/A</v>
      </c>
      <c r="AG29" s="68" t="e">
        <f t="shared" si="30"/>
        <v>#N/A</v>
      </c>
      <c r="AH29" s="68" t="e">
        <f t="shared" si="31"/>
        <v>#N/A</v>
      </c>
      <c r="AI29" s="46" t="e">
        <f t="shared" si="32"/>
        <v>#N/A</v>
      </c>
      <c r="AJ29" s="68" t="e">
        <f t="shared" si="33"/>
        <v>#N/A</v>
      </c>
      <c r="AK29" s="68" t="e">
        <f t="shared" si="34"/>
        <v>#N/A</v>
      </c>
      <c r="AL29" s="46" t="e">
        <f t="shared" si="35"/>
        <v>#N/A</v>
      </c>
      <c r="AM29" s="68" t="e">
        <f t="shared" si="36"/>
        <v>#N/A</v>
      </c>
      <c r="AN29" s="68" t="e">
        <f t="shared" si="37"/>
        <v>#N/A</v>
      </c>
      <c r="AO29" s="46" t="e">
        <f t="shared" si="38"/>
        <v>#N/A</v>
      </c>
      <c r="AP29" s="68" t="e">
        <f t="shared" si="39"/>
        <v>#N/A</v>
      </c>
      <c r="AQ29" s="68" t="e">
        <f t="shared" si="40"/>
        <v>#N/A</v>
      </c>
      <c r="AR29" s="46" t="e">
        <f t="shared" si="41"/>
        <v>#N/A</v>
      </c>
      <c r="AS29" s="68" t="e">
        <f t="shared" si="42"/>
        <v>#N/A</v>
      </c>
      <c r="AT29" s="68" t="e">
        <f t="shared" si="43"/>
        <v>#N/A</v>
      </c>
      <c r="AU29" s="46" t="e">
        <f t="shared" si="44"/>
        <v>#N/A</v>
      </c>
      <c r="AV29" s="68" t="e">
        <f t="shared" si="45"/>
        <v>#N/A</v>
      </c>
      <c r="AW29" s="68" t="e">
        <f t="shared" si="46"/>
        <v>#N/A</v>
      </c>
      <c r="AX29" s="37"/>
      <c r="AY29" s="44"/>
    </row>
    <row r="30" spans="1:51" ht="14.25" customHeight="1" x14ac:dyDescent="0.25">
      <c r="A30" s="43">
        <v>2020</v>
      </c>
      <c r="B30" s="46" t="e">
        <f t="shared" si="0"/>
        <v>#N/A</v>
      </c>
      <c r="C30" s="68" t="e">
        <f t="shared" si="1"/>
        <v>#N/A</v>
      </c>
      <c r="D30" s="68" t="e">
        <f t="shared" si="2"/>
        <v>#N/A</v>
      </c>
      <c r="E30" s="46" t="e">
        <f t="shared" si="47"/>
        <v>#N/A</v>
      </c>
      <c r="F30" s="68" t="e">
        <f t="shared" si="48"/>
        <v>#N/A</v>
      </c>
      <c r="G30" s="68" t="e">
        <f t="shared" si="49"/>
        <v>#N/A</v>
      </c>
      <c r="H30" s="46" t="e">
        <f t="shared" si="5"/>
        <v>#N/A</v>
      </c>
      <c r="I30" s="68" t="e">
        <f t="shared" si="50"/>
        <v>#N/A</v>
      </c>
      <c r="J30" s="68" t="e">
        <f t="shared" si="7"/>
        <v>#N/A</v>
      </c>
      <c r="K30" s="46" t="e">
        <f t="shared" si="8"/>
        <v>#N/A</v>
      </c>
      <c r="L30" s="68" t="e">
        <f t="shared" si="9"/>
        <v>#N/A</v>
      </c>
      <c r="M30" s="68" t="e">
        <f t="shared" si="10"/>
        <v>#N/A</v>
      </c>
      <c r="N30" s="46" t="e">
        <f t="shared" si="11"/>
        <v>#N/A</v>
      </c>
      <c r="O30" s="68" t="e">
        <f t="shared" si="12"/>
        <v>#N/A</v>
      </c>
      <c r="P30" s="68" t="e">
        <f t="shared" si="13"/>
        <v>#N/A</v>
      </c>
      <c r="Q30" s="46" t="e">
        <f t="shared" si="14"/>
        <v>#N/A</v>
      </c>
      <c r="R30" s="68" t="e">
        <f t="shared" si="15"/>
        <v>#N/A</v>
      </c>
      <c r="S30" s="68" t="e">
        <f t="shared" si="16"/>
        <v>#N/A</v>
      </c>
      <c r="T30" s="46" t="e">
        <f t="shared" si="17"/>
        <v>#N/A</v>
      </c>
      <c r="U30" s="68" t="e">
        <f t="shared" si="18"/>
        <v>#N/A</v>
      </c>
      <c r="V30" s="68" t="e">
        <f t="shared" si="19"/>
        <v>#N/A</v>
      </c>
      <c r="W30" s="46" t="e">
        <f t="shared" si="20"/>
        <v>#N/A</v>
      </c>
      <c r="X30" s="68" t="e">
        <f t="shared" si="21"/>
        <v>#N/A</v>
      </c>
      <c r="Y30" s="68" t="e">
        <f t="shared" si="22"/>
        <v>#N/A</v>
      </c>
      <c r="Z30" s="46" t="e">
        <f t="shared" si="23"/>
        <v>#N/A</v>
      </c>
      <c r="AA30" s="68" t="e">
        <f t="shared" si="24"/>
        <v>#N/A</v>
      </c>
      <c r="AB30" s="68" t="e">
        <f t="shared" si="25"/>
        <v>#N/A</v>
      </c>
      <c r="AC30" s="46" t="e">
        <f t="shared" si="26"/>
        <v>#N/A</v>
      </c>
      <c r="AD30" s="68" t="e">
        <f t="shared" si="27"/>
        <v>#N/A</v>
      </c>
      <c r="AE30" s="68" t="e">
        <f t="shared" si="28"/>
        <v>#N/A</v>
      </c>
      <c r="AF30" s="46" t="e">
        <f t="shared" si="29"/>
        <v>#N/A</v>
      </c>
      <c r="AG30" s="68" t="e">
        <f t="shared" si="30"/>
        <v>#N/A</v>
      </c>
      <c r="AH30" s="68" t="e">
        <f t="shared" si="31"/>
        <v>#N/A</v>
      </c>
      <c r="AI30" s="46" t="e">
        <f t="shared" si="32"/>
        <v>#N/A</v>
      </c>
      <c r="AJ30" s="68" t="e">
        <f t="shared" si="33"/>
        <v>#N/A</v>
      </c>
      <c r="AK30" s="68" t="e">
        <f t="shared" si="34"/>
        <v>#N/A</v>
      </c>
      <c r="AL30" s="46" t="e">
        <f t="shared" si="35"/>
        <v>#N/A</v>
      </c>
      <c r="AM30" s="68" t="e">
        <f t="shared" si="36"/>
        <v>#N/A</v>
      </c>
      <c r="AN30" s="68" t="e">
        <f t="shared" si="37"/>
        <v>#N/A</v>
      </c>
      <c r="AO30" s="46" t="e">
        <f t="shared" si="38"/>
        <v>#N/A</v>
      </c>
      <c r="AP30" s="68" t="e">
        <f t="shared" si="39"/>
        <v>#N/A</v>
      </c>
      <c r="AQ30" s="68" t="e">
        <f t="shared" si="40"/>
        <v>#N/A</v>
      </c>
      <c r="AR30" s="46" t="e">
        <f t="shared" si="41"/>
        <v>#N/A</v>
      </c>
      <c r="AS30" s="68" t="e">
        <f t="shared" si="42"/>
        <v>#N/A</v>
      </c>
      <c r="AT30" s="68" t="e">
        <f t="shared" si="43"/>
        <v>#N/A</v>
      </c>
      <c r="AU30" s="46" t="e">
        <f t="shared" si="44"/>
        <v>#N/A</v>
      </c>
      <c r="AV30" s="68" t="e">
        <f t="shared" si="45"/>
        <v>#N/A</v>
      </c>
      <c r="AW30" s="68" t="e">
        <f t="shared" si="46"/>
        <v>#N/A</v>
      </c>
      <c r="AX30" s="37"/>
      <c r="AY30" s="44"/>
    </row>
    <row r="31" spans="1:51" ht="14.25" customHeight="1" x14ac:dyDescent="0.25">
      <c r="A31" s="43">
        <v>2021</v>
      </c>
      <c r="B31" s="46" t="e">
        <f t="shared" si="0"/>
        <v>#N/A</v>
      </c>
      <c r="C31" s="68" t="e">
        <f t="shared" si="1"/>
        <v>#N/A</v>
      </c>
      <c r="D31" s="68" t="e">
        <f t="shared" si="2"/>
        <v>#N/A</v>
      </c>
      <c r="E31" s="46" t="e">
        <f t="shared" si="47"/>
        <v>#N/A</v>
      </c>
      <c r="F31" s="68" t="e">
        <f t="shared" si="48"/>
        <v>#N/A</v>
      </c>
      <c r="G31" s="68" t="e">
        <f t="shared" si="49"/>
        <v>#N/A</v>
      </c>
      <c r="H31" s="46" t="e">
        <f t="shared" si="5"/>
        <v>#N/A</v>
      </c>
      <c r="I31" s="68" t="e">
        <f t="shared" si="50"/>
        <v>#N/A</v>
      </c>
      <c r="J31" s="68" t="e">
        <f t="shared" si="7"/>
        <v>#N/A</v>
      </c>
      <c r="K31" s="46" t="e">
        <f t="shared" si="8"/>
        <v>#N/A</v>
      </c>
      <c r="L31" s="68" t="e">
        <f t="shared" si="9"/>
        <v>#N/A</v>
      </c>
      <c r="M31" s="68" t="e">
        <f t="shared" si="10"/>
        <v>#N/A</v>
      </c>
      <c r="N31" s="46" t="e">
        <f t="shared" si="11"/>
        <v>#N/A</v>
      </c>
      <c r="O31" s="68" t="e">
        <f t="shared" si="12"/>
        <v>#N/A</v>
      </c>
      <c r="P31" s="68" t="e">
        <f t="shared" si="13"/>
        <v>#N/A</v>
      </c>
      <c r="Q31" s="46" t="e">
        <f t="shared" si="14"/>
        <v>#N/A</v>
      </c>
      <c r="R31" s="68" t="e">
        <f t="shared" si="15"/>
        <v>#N/A</v>
      </c>
      <c r="S31" s="68" t="e">
        <f t="shared" si="16"/>
        <v>#N/A</v>
      </c>
      <c r="T31" s="46" t="e">
        <f t="shared" si="17"/>
        <v>#N/A</v>
      </c>
      <c r="U31" s="68" t="e">
        <f t="shared" si="18"/>
        <v>#N/A</v>
      </c>
      <c r="V31" s="68" t="e">
        <f t="shared" si="19"/>
        <v>#N/A</v>
      </c>
      <c r="W31" s="46" t="e">
        <f t="shared" si="20"/>
        <v>#N/A</v>
      </c>
      <c r="X31" s="68" t="e">
        <f t="shared" si="21"/>
        <v>#N/A</v>
      </c>
      <c r="Y31" s="68" t="e">
        <f t="shared" si="22"/>
        <v>#N/A</v>
      </c>
      <c r="Z31" s="46" t="e">
        <f t="shared" si="23"/>
        <v>#N/A</v>
      </c>
      <c r="AA31" s="68" t="e">
        <f t="shared" si="24"/>
        <v>#N/A</v>
      </c>
      <c r="AB31" s="68" t="e">
        <f t="shared" si="25"/>
        <v>#N/A</v>
      </c>
      <c r="AC31" s="46" t="e">
        <f t="shared" si="26"/>
        <v>#N/A</v>
      </c>
      <c r="AD31" s="68" t="e">
        <f t="shared" si="27"/>
        <v>#N/A</v>
      </c>
      <c r="AE31" s="68" t="e">
        <f t="shared" si="28"/>
        <v>#N/A</v>
      </c>
      <c r="AF31" s="46" t="e">
        <f t="shared" si="29"/>
        <v>#N/A</v>
      </c>
      <c r="AG31" s="68" t="e">
        <f t="shared" si="30"/>
        <v>#N/A</v>
      </c>
      <c r="AH31" s="68" t="e">
        <f t="shared" si="31"/>
        <v>#N/A</v>
      </c>
      <c r="AI31" s="46" t="e">
        <f t="shared" si="32"/>
        <v>#N/A</v>
      </c>
      <c r="AJ31" s="68" t="e">
        <f t="shared" si="33"/>
        <v>#N/A</v>
      </c>
      <c r="AK31" s="68" t="e">
        <f t="shared" si="34"/>
        <v>#N/A</v>
      </c>
      <c r="AL31" s="46" t="e">
        <f t="shared" si="35"/>
        <v>#N/A</v>
      </c>
      <c r="AM31" s="68" t="e">
        <f t="shared" si="36"/>
        <v>#N/A</v>
      </c>
      <c r="AN31" s="68" t="e">
        <f t="shared" si="37"/>
        <v>#N/A</v>
      </c>
      <c r="AO31" s="46" t="e">
        <f t="shared" si="38"/>
        <v>#N/A</v>
      </c>
      <c r="AP31" s="68" t="e">
        <f t="shared" si="39"/>
        <v>#N/A</v>
      </c>
      <c r="AQ31" s="68" t="e">
        <f t="shared" si="40"/>
        <v>#N/A</v>
      </c>
      <c r="AR31" s="46" t="e">
        <f t="shared" si="41"/>
        <v>#N/A</v>
      </c>
      <c r="AS31" s="68" t="e">
        <f t="shared" si="42"/>
        <v>#N/A</v>
      </c>
      <c r="AT31" s="68" t="e">
        <f t="shared" si="43"/>
        <v>#N/A</v>
      </c>
      <c r="AU31" s="46" t="e">
        <f t="shared" si="44"/>
        <v>#N/A</v>
      </c>
      <c r="AV31" s="68" t="e">
        <f t="shared" si="45"/>
        <v>#N/A</v>
      </c>
      <c r="AW31" s="68" t="e">
        <f t="shared" si="46"/>
        <v>#N/A</v>
      </c>
      <c r="AX31" s="37"/>
      <c r="AY31" s="44"/>
    </row>
    <row r="32" spans="1:51" ht="14.25" customHeight="1" x14ac:dyDescent="0.25">
      <c r="A32" s="43">
        <v>2022</v>
      </c>
      <c r="B32" s="46" t="e">
        <f t="shared" si="0"/>
        <v>#N/A</v>
      </c>
      <c r="C32" s="68" t="e">
        <f t="shared" si="1"/>
        <v>#N/A</v>
      </c>
      <c r="D32" s="68" t="e">
        <f t="shared" si="2"/>
        <v>#N/A</v>
      </c>
      <c r="E32" s="46" t="e">
        <f t="shared" si="47"/>
        <v>#N/A</v>
      </c>
      <c r="F32" s="68" t="e">
        <f t="shared" si="48"/>
        <v>#N/A</v>
      </c>
      <c r="G32" s="68" t="e">
        <f t="shared" si="49"/>
        <v>#N/A</v>
      </c>
      <c r="H32" s="46" t="e">
        <f t="shared" si="5"/>
        <v>#N/A</v>
      </c>
      <c r="I32" s="68" t="e">
        <f t="shared" si="50"/>
        <v>#N/A</v>
      </c>
      <c r="J32" s="68" t="e">
        <f t="shared" si="7"/>
        <v>#N/A</v>
      </c>
      <c r="K32" s="46" t="e">
        <f t="shared" si="8"/>
        <v>#N/A</v>
      </c>
      <c r="L32" s="68" t="e">
        <f t="shared" si="9"/>
        <v>#N/A</v>
      </c>
      <c r="M32" s="68" t="e">
        <f t="shared" si="10"/>
        <v>#N/A</v>
      </c>
      <c r="N32" s="46" t="e">
        <f t="shared" si="11"/>
        <v>#N/A</v>
      </c>
      <c r="O32" s="68" t="e">
        <f t="shared" si="12"/>
        <v>#N/A</v>
      </c>
      <c r="P32" s="68" t="e">
        <f t="shared" si="13"/>
        <v>#N/A</v>
      </c>
      <c r="Q32" s="46" t="e">
        <f t="shared" si="14"/>
        <v>#N/A</v>
      </c>
      <c r="R32" s="68" t="e">
        <f t="shared" si="15"/>
        <v>#N/A</v>
      </c>
      <c r="S32" s="68" t="e">
        <f t="shared" si="16"/>
        <v>#N/A</v>
      </c>
      <c r="T32" s="46" t="e">
        <f t="shared" si="17"/>
        <v>#N/A</v>
      </c>
      <c r="U32" s="68" t="e">
        <f t="shared" si="18"/>
        <v>#N/A</v>
      </c>
      <c r="V32" s="68" t="e">
        <f t="shared" si="19"/>
        <v>#N/A</v>
      </c>
      <c r="W32" s="46" t="e">
        <f t="shared" si="20"/>
        <v>#N/A</v>
      </c>
      <c r="X32" s="68" t="e">
        <f t="shared" si="21"/>
        <v>#N/A</v>
      </c>
      <c r="Y32" s="68" t="e">
        <f t="shared" si="22"/>
        <v>#N/A</v>
      </c>
      <c r="Z32" s="46" t="e">
        <f t="shared" si="23"/>
        <v>#N/A</v>
      </c>
      <c r="AA32" s="68" t="e">
        <f t="shared" si="24"/>
        <v>#N/A</v>
      </c>
      <c r="AB32" s="68" t="e">
        <f t="shared" si="25"/>
        <v>#N/A</v>
      </c>
      <c r="AC32" s="46" t="e">
        <f t="shared" si="26"/>
        <v>#N/A</v>
      </c>
      <c r="AD32" s="68" t="e">
        <f t="shared" si="27"/>
        <v>#N/A</v>
      </c>
      <c r="AE32" s="68" t="e">
        <f t="shared" si="28"/>
        <v>#N/A</v>
      </c>
      <c r="AF32" s="46" t="e">
        <f t="shared" si="29"/>
        <v>#N/A</v>
      </c>
      <c r="AG32" s="68" t="e">
        <f t="shared" si="30"/>
        <v>#N/A</v>
      </c>
      <c r="AH32" s="68" t="e">
        <f t="shared" si="31"/>
        <v>#N/A</v>
      </c>
      <c r="AI32" s="46" t="e">
        <f t="shared" si="32"/>
        <v>#N/A</v>
      </c>
      <c r="AJ32" s="68" t="e">
        <f t="shared" si="33"/>
        <v>#N/A</v>
      </c>
      <c r="AK32" s="68" t="e">
        <f t="shared" si="34"/>
        <v>#N/A</v>
      </c>
      <c r="AL32" s="46" t="e">
        <f t="shared" si="35"/>
        <v>#N/A</v>
      </c>
      <c r="AM32" s="68" t="e">
        <f t="shared" si="36"/>
        <v>#N/A</v>
      </c>
      <c r="AN32" s="68" t="e">
        <f t="shared" si="37"/>
        <v>#N/A</v>
      </c>
      <c r="AO32" s="46" t="e">
        <f t="shared" si="38"/>
        <v>#N/A</v>
      </c>
      <c r="AP32" s="68" t="e">
        <f t="shared" si="39"/>
        <v>#N/A</v>
      </c>
      <c r="AQ32" s="68" t="e">
        <f t="shared" si="40"/>
        <v>#N/A</v>
      </c>
      <c r="AR32" s="46" t="e">
        <f t="shared" si="41"/>
        <v>#N/A</v>
      </c>
      <c r="AS32" s="68" t="e">
        <f t="shared" si="42"/>
        <v>#N/A</v>
      </c>
      <c r="AT32" s="68" t="e">
        <f t="shared" si="43"/>
        <v>#N/A</v>
      </c>
      <c r="AU32" s="46" t="e">
        <f t="shared" si="44"/>
        <v>#N/A</v>
      </c>
      <c r="AV32" s="68" t="e">
        <f t="shared" si="45"/>
        <v>#N/A</v>
      </c>
      <c r="AW32" s="68" t="e">
        <f t="shared" si="46"/>
        <v>#N/A</v>
      </c>
      <c r="AX32" s="37"/>
      <c r="AY32" s="44"/>
    </row>
    <row r="33" spans="1:51" ht="14.25" customHeight="1" x14ac:dyDescent="0.25">
      <c r="A33" s="43">
        <v>2023</v>
      </c>
      <c r="B33" s="46" t="e">
        <f t="shared" si="0"/>
        <v>#N/A</v>
      </c>
      <c r="C33" s="68" t="e">
        <f t="shared" ref="C33:C35" si="81">12/B33</f>
        <v>#N/A</v>
      </c>
      <c r="D33" s="68" t="e">
        <f t="shared" ref="D33:D35" si="82">C33</f>
        <v>#N/A</v>
      </c>
      <c r="E33" s="46" t="e">
        <f t="shared" si="47"/>
        <v>#N/A</v>
      </c>
      <c r="F33" s="68" t="e">
        <f t="shared" si="48"/>
        <v>#N/A</v>
      </c>
      <c r="G33" s="68" t="e">
        <f t="shared" si="49"/>
        <v>#N/A</v>
      </c>
      <c r="H33" s="46" t="e">
        <f t="shared" si="5"/>
        <v>#N/A</v>
      </c>
      <c r="I33" s="68" t="e">
        <f t="shared" ref="I33:I35" si="83">12/H33</f>
        <v>#N/A</v>
      </c>
      <c r="J33" s="68" t="e">
        <f t="shared" ref="J33:J35" si="84">I33</f>
        <v>#N/A</v>
      </c>
      <c r="K33" s="46" t="e">
        <f t="shared" si="8"/>
        <v>#N/A</v>
      </c>
      <c r="L33" s="68" t="e">
        <f t="shared" ref="L33:L35" si="85">12/K33</f>
        <v>#N/A</v>
      </c>
      <c r="M33" s="68" t="e">
        <f t="shared" ref="M33:M35" si="86">L33</f>
        <v>#N/A</v>
      </c>
      <c r="N33" s="46" t="e">
        <f t="shared" si="11"/>
        <v>#N/A</v>
      </c>
      <c r="O33" s="68" t="e">
        <f t="shared" ref="O33:O35" si="87">12/N33</f>
        <v>#N/A</v>
      </c>
      <c r="P33" s="68" t="e">
        <f t="shared" ref="P33:P35" si="88">O33</f>
        <v>#N/A</v>
      </c>
      <c r="Q33" s="46" t="e">
        <f t="shared" si="14"/>
        <v>#N/A</v>
      </c>
      <c r="R33" s="68" t="e">
        <f t="shared" ref="R33:R35" si="89">12/Q33</f>
        <v>#N/A</v>
      </c>
      <c r="S33" s="68" t="e">
        <f t="shared" ref="S33:S35" si="90">R33</f>
        <v>#N/A</v>
      </c>
      <c r="T33" s="46" t="e">
        <f t="shared" si="17"/>
        <v>#N/A</v>
      </c>
      <c r="U33" s="68" t="e">
        <f t="shared" ref="U33:U35" si="91">12/T33</f>
        <v>#N/A</v>
      </c>
      <c r="V33" s="68" t="e">
        <f t="shared" ref="V33:V35" si="92">U33</f>
        <v>#N/A</v>
      </c>
      <c r="W33" s="46" t="e">
        <f t="shared" si="20"/>
        <v>#N/A</v>
      </c>
      <c r="X33" s="68" t="e">
        <f t="shared" ref="X33:X35" si="93">12/W33</f>
        <v>#N/A</v>
      </c>
      <c r="Y33" s="68" t="e">
        <f t="shared" ref="Y33:Y35" si="94">X33</f>
        <v>#N/A</v>
      </c>
      <c r="Z33" s="46" t="e">
        <f t="shared" si="23"/>
        <v>#N/A</v>
      </c>
      <c r="AA33" s="68" t="e">
        <f t="shared" ref="AA33:AA35" si="95">12/Z33</f>
        <v>#N/A</v>
      </c>
      <c r="AB33" s="68" t="e">
        <f t="shared" ref="AB33:AB35" si="96">AA33</f>
        <v>#N/A</v>
      </c>
      <c r="AC33" s="46" t="e">
        <f t="shared" si="26"/>
        <v>#N/A</v>
      </c>
      <c r="AD33" s="68" t="e">
        <f t="shared" ref="AD33:AD35" si="97">12/AC33</f>
        <v>#N/A</v>
      </c>
      <c r="AE33" s="68" t="e">
        <f t="shared" ref="AE33:AE35" si="98">AD33</f>
        <v>#N/A</v>
      </c>
      <c r="AF33" s="46" t="e">
        <f t="shared" si="29"/>
        <v>#N/A</v>
      </c>
      <c r="AG33" s="68" t="e">
        <f t="shared" ref="AG33:AG35" si="99">12/AF33</f>
        <v>#N/A</v>
      </c>
      <c r="AH33" s="68" t="e">
        <f t="shared" ref="AH33:AH35" si="100">AG33</f>
        <v>#N/A</v>
      </c>
      <c r="AI33" s="46" t="e">
        <f t="shared" si="32"/>
        <v>#N/A</v>
      </c>
      <c r="AJ33" s="68" t="e">
        <f t="shared" ref="AJ33:AJ35" si="101">12/AI33</f>
        <v>#N/A</v>
      </c>
      <c r="AK33" s="68" t="e">
        <f t="shared" ref="AK33:AK35" si="102">AJ33</f>
        <v>#N/A</v>
      </c>
      <c r="AL33" s="46" t="e">
        <f t="shared" si="35"/>
        <v>#N/A</v>
      </c>
      <c r="AM33" s="68" t="e">
        <f t="shared" ref="AM33:AM35" si="103">12/AL33</f>
        <v>#N/A</v>
      </c>
      <c r="AN33" s="68" t="e">
        <f t="shared" ref="AN33:AN35" si="104">AM33</f>
        <v>#N/A</v>
      </c>
      <c r="AO33" s="46" t="e">
        <f t="shared" si="38"/>
        <v>#N/A</v>
      </c>
      <c r="AP33" s="68" t="e">
        <f t="shared" ref="AP33:AP35" si="105">12/AO33</f>
        <v>#N/A</v>
      </c>
      <c r="AQ33" s="68" t="e">
        <f t="shared" ref="AQ33:AQ35" si="106">AP33</f>
        <v>#N/A</v>
      </c>
      <c r="AR33" s="46" t="e">
        <f t="shared" si="41"/>
        <v>#N/A</v>
      </c>
      <c r="AS33" s="68" t="e">
        <f t="shared" ref="AS33:AS35" si="107">12/AR33</f>
        <v>#N/A</v>
      </c>
      <c r="AT33" s="68" t="e">
        <f t="shared" ref="AT33:AT35" si="108">AS33</f>
        <v>#N/A</v>
      </c>
      <c r="AU33" s="46" t="e">
        <f t="shared" si="44"/>
        <v>#N/A</v>
      </c>
      <c r="AV33" s="68" t="e">
        <f t="shared" ref="AV33:AV35" si="109">12/AU33</f>
        <v>#N/A</v>
      </c>
      <c r="AW33" s="68" t="e">
        <f t="shared" ref="AW33:AW35" si="110">AV33</f>
        <v>#N/A</v>
      </c>
      <c r="AX33" s="37"/>
      <c r="AY33" s="44"/>
    </row>
    <row r="34" spans="1:51" ht="14.25" customHeight="1" x14ac:dyDescent="0.25">
      <c r="A34" s="43">
        <v>2024</v>
      </c>
      <c r="B34" s="46" t="e">
        <f t="shared" si="0"/>
        <v>#N/A</v>
      </c>
      <c r="C34" s="68" t="e">
        <f t="shared" si="81"/>
        <v>#N/A</v>
      </c>
      <c r="D34" s="68" t="e">
        <f t="shared" si="82"/>
        <v>#N/A</v>
      </c>
      <c r="E34" s="46" t="e">
        <f t="shared" si="47"/>
        <v>#N/A</v>
      </c>
      <c r="F34" s="68" t="e">
        <f t="shared" si="48"/>
        <v>#N/A</v>
      </c>
      <c r="G34" s="68" t="e">
        <f t="shared" si="49"/>
        <v>#N/A</v>
      </c>
      <c r="H34" s="46" t="e">
        <f t="shared" si="5"/>
        <v>#N/A</v>
      </c>
      <c r="I34" s="68" t="e">
        <f t="shared" si="83"/>
        <v>#N/A</v>
      </c>
      <c r="J34" s="68" t="e">
        <f t="shared" si="84"/>
        <v>#N/A</v>
      </c>
      <c r="K34" s="46" t="e">
        <f t="shared" si="8"/>
        <v>#N/A</v>
      </c>
      <c r="L34" s="68" t="e">
        <f t="shared" si="85"/>
        <v>#N/A</v>
      </c>
      <c r="M34" s="68" t="e">
        <f t="shared" si="86"/>
        <v>#N/A</v>
      </c>
      <c r="N34" s="46" t="e">
        <f t="shared" si="11"/>
        <v>#N/A</v>
      </c>
      <c r="O34" s="68" t="e">
        <f t="shared" si="87"/>
        <v>#N/A</v>
      </c>
      <c r="P34" s="68" t="e">
        <f t="shared" si="88"/>
        <v>#N/A</v>
      </c>
      <c r="Q34" s="46" t="e">
        <f t="shared" si="14"/>
        <v>#N/A</v>
      </c>
      <c r="R34" s="68" t="e">
        <f t="shared" si="89"/>
        <v>#N/A</v>
      </c>
      <c r="S34" s="68" t="e">
        <f t="shared" si="90"/>
        <v>#N/A</v>
      </c>
      <c r="T34" s="46" t="e">
        <f t="shared" si="17"/>
        <v>#N/A</v>
      </c>
      <c r="U34" s="68" t="e">
        <f t="shared" si="91"/>
        <v>#N/A</v>
      </c>
      <c r="V34" s="68" t="e">
        <f t="shared" si="92"/>
        <v>#N/A</v>
      </c>
      <c r="W34" s="46" t="e">
        <f t="shared" si="20"/>
        <v>#N/A</v>
      </c>
      <c r="X34" s="68" t="e">
        <f t="shared" si="93"/>
        <v>#N/A</v>
      </c>
      <c r="Y34" s="68" t="e">
        <f t="shared" si="94"/>
        <v>#N/A</v>
      </c>
      <c r="Z34" s="46" t="e">
        <f t="shared" si="23"/>
        <v>#N/A</v>
      </c>
      <c r="AA34" s="68" t="e">
        <f t="shared" si="95"/>
        <v>#N/A</v>
      </c>
      <c r="AB34" s="68" t="e">
        <f t="shared" si="96"/>
        <v>#N/A</v>
      </c>
      <c r="AC34" s="46" t="e">
        <f t="shared" si="26"/>
        <v>#N/A</v>
      </c>
      <c r="AD34" s="68" t="e">
        <f t="shared" si="97"/>
        <v>#N/A</v>
      </c>
      <c r="AE34" s="68" t="e">
        <f t="shared" si="98"/>
        <v>#N/A</v>
      </c>
      <c r="AF34" s="46" t="e">
        <f t="shared" si="29"/>
        <v>#N/A</v>
      </c>
      <c r="AG34" s="68" t="e">
        <f t="shared" si="99"/>
        <v>#N/A</v>
      </c>
      <c r="AH34" s="68" t="e">
        <f t="shared" si="100"/>
        <v>#N/A</v>
      </c>
      <c r="AI34" s="46" t="e">
        <f t="shared" si="32"/>
        <v>#N/A</v>
      </c>
      <c r="AJ34" s="68" t="e">
        <f t="shared" si="101"/>
        <v>#N/A</v>
      </c>
      <c r="AK34" s="68" t="e">
        <f t="shared" si="102"/>
        <v>#N/A</v>
      </c>
      <c r="AL34" s="46" t="e">
        <f t="shared" si="35"/>
        <v>#N/A</v>
      </c>
      <c r="AM34" s="68" t="e">
        <f t="shared" si="103"/>
        <v>#N/A</v>
      </c>
      <c r="AN34" s="68" t="e">
        <f t="shared" si="104"/>
        <v>#N/A</v>
      </c>
      <c r="AO34" s="46" t="e">
        <f t="shared" si="38"/>
        <v>#N/A</v>
      </c>
      <c r="AP34" s="68" t="e">
        <f t="shared" si="105"/>
        <v>#N/A</v>
      </c>
      <c r="AQ34" s="68" t="e">
        <f t="shared" si="106"/>
        <v>#N/A</v>
      </c>
      <c r="AR34" s="46" t="e">
        <f t="shared" si="41"/>
        <v>#N/A</v>
      </c>
      <c r="AS34" s="68" t="e">
        <f t="shared" si="107"/>
        <v>#N/A</v>
      </c>
      <c r="AT34" s="68" t="e">
        <f t="shared" si="108"/>
        <v>#N/A</v>
      </c>
      <c r="AU34" s="46" t="e">
        <f t="shared" si="44"/>
        <v>#N/A</v>
      </c>
      <c r="AV34" s="68" t="e">
        <f t="shared" si="109"/>
        <v>#N/A</v>
      </c>
      <c r="AW34" s="68" t="e">
        <f t="shared" si="110"/>
        <v>#N/A</v>
      </c>
      <c r="AX34" s="37"/>
      <c r="AY34" s="44"/>
    </row>
    <row r="35" spans="1:51" ht="14.25" customHeight="1" x14ac:dyDescent="0.25">
      <c r="A35" s="43">
        <v>2025</v>
      </c>
      <c r="B35" s="46" t="e">
        <f t="shared" si="0"/>
        <v>#N/A</v>
      </c>
      <c r="C35" s="68" t="e">
        <f t="shared" si="81"/>
        <v>#N/A</v>
      </c>
      <c r="D35" s="68" t="e">
        <f t="shared" si="82"/>
        <v>#N/A</v>
      </c>
      <c r="E35" s="46" t="e">
        <f t="shared" si="47"/>
        <v>#N/A</v>
      </c>
      <c r="F35" s="68" t="e">
        <f t="shared" si="48"/>
        <v>#N/A</v>
      </c>
      <c r="G35" s="68" t="e">
        <f t="shared" si="49"/>
        <v>#N/A</v>
      </c>
      <c r="H35" s="46" t="e">
        <f t="shared" si="5"/>
        <v>#N/A</v>
      </c>
      <c r="I35" s="68" t="e">
        <f t="shared" si="83"/>
        <v>#N/A</v>
      </c>
      <c r="J35" s="68" t="e">
        <f t="shared" si="84"/>
        <v>#N/A</v>
      </c>
      <c r="K35" s="46" t="e">
        <f t="shared" si="8"/>
        <v>#N/A</v>
      </c>
      <c r="L35" s="68" t="e">
        <f t="shared" si="85"/>
        <v>#N/A</v>
      </c>
      <c r="M35" s="68" t="e">
        <f t="shared" si="86"/>
        <v>#N/A</v>
      </c>
      <c r="N35" s="46" t="e">
        <f t="shared" si="11"/>
        <v>#N/A</v>
      </c>
      <c r="O35" s="68" t="e">
        <f t="shared" si="87"/>
        <v>#N/A</v>
      </c>
      <c r="P35" s="68" t="e">
        <f t="shared" si="88"/>
        <v>#N/A</v>
      </c>
      <c r="Q35" s="46" t="e">
        <f t="shared" si="14"/>
        <v>#N/A</v>
      </c>
      <c r="R35" s="68" t="e">
        <f t="shared" si="89"/>
        <v>#N/A</v>
      </c>
      <c r="S35" s="68" t="e">
        <f t="shared" si="90"/>
        <v>#N/A</v>
      </c>
      <c r="T35" s="46" t="e">
        <f t="shared" si="17"/>
        <v>#N/A</v>
      </c>
      <c r="U35" s="68" t="e">
        <f t="shared" si="91"/>
        <v>#N/A</v>
      </c>
      <c r="V35" s="68" t="e">
        <f t="shared" si="92"/>
        <v>#N/A</v>
      </c>
      <c r="W35" s="46" t="e">
        <f t="shared" si="20"/>
        <v>#N/A</v>
      </c>
      <c r="X35" s="68" t="e">
        <f t="shared" si="93"/>
        <v>#N/A</v>
      </c>
      <c r="Y35" s="68" t="e">
        <f t="shared" si="94"/>
        <v>#N/A</v>
      </c>
      <c r="Z35" s="46" t="e">
        <f t="shared" si="23"/>
        <v>#N/A</v>
      </c>
      <c r="AA35" s="68" t="e">
        <f t="shared" si="95"/>
        <v>#N/A</v>
      </c>
      <c r="AB35" s="68" t="e">
        <f t="shared" si="96"/>
        <v>#N/A</v>
      </c>
      <c r="AC35" s="46" t="e">
        <f t="shared" si="26"/>
        <v>#N/A</v>
      </c>
      <c r="AD35" s="68" t="e">
        <f t="shared" si="97"/>
        <v>#N/A</v>
      </c>
      <c r="AE35" s="68" t="e">
        <f t="shared" si="98"/>
        <v>#N/A</v>
      </c>
      <c r="AF35" s="46" t="e">
        <f t="shared" si="29"/>
        <v>#N/A</v>
      </c>
      <c r="AG35" s="68" t="e">
        <f t="shared" si="99"/>
        <v>#N/A</v>
      </c>
      <c r="AH35" s="68" t="e">
        <f t="shared" si="100"/>
        <v>#N/A</v>
      </c>
      <c r="AI35" s="46" t="e">
        <f t="shared" si="32"/>
        <v>#N/A</v>
      </c>
      <c r="AJ35" s="68" t="e">
        <f t="shared" si="101"/>
        <v>#N/A</v>
      </c>
      <c r="AK35" s="68" t="e">
        <f t="shared" si="102"/>
        <v>#N/A</v>
      </c>
      <c r="AL35" s="46" t="e">
        <f t="shared" si="35"/>
        <v>#N/A</v>
      </c>
      <c r="AM35" s="68" t="e">
        <f t="shared" si="103"/>
        <v>#N/A</v>
      </c>
      <c r="AN35" s="68" t="e">
        <f t="shared" si="104"/>
        <v>#N/A</v>
      </c>
      <c r="AO35" s="46" t="e">
        <f t="shared" si="38"/>
        <v>#N/A</v>
      </c>
      <c r="AP35" s="68" t="e">
        <f t="shared" si="105"/>
        <v>#N/A</v>
      </c>
      <c r="AQ35" s="68" t="e">
        <f t="shared" si="106"/>
        <v>#N/A</v>
      </c>
      <c r="AR35" s="46" t="e">
        <f t="shared" si="41"/>
        <v>#N/A</v>
      </c>
      <c r="AS35" s="68" t="e">
        <f t="shared" si="107"/>
        <v>#N/A</v>
      </c>
      <c r="AT35" s="68" t="e">
        <f t="shared" si="108"/>
        <v>#N/A</v>
      </c>
      <c r="AU35" s="46" t="e">
        <f t="shared" si="44"/>
        <v>#N/A</v>
      </c>
      <c r="AV35" s="68" t="e">
        <f t="shared" si="109"/>
        <v>#N/A</v>
      </c>
      <c r="AW35" s="68" t="e">
        <f t="shared" si="110"/>
        <v>#N/A</v>
      </c>
      <c r="AX35" s="37"/>
      <c r="AY35" s="44"/>
    </row>
    <row r="36" spans="1:51" ht="14.25" customHeight="1" x14ac:dyDescent="0.25">
      <c r="A36" s="413" t="str">
        <v>ARTRM9.2</v>
      </c>
      <c r="B36" s="46">
        <v>11</v>
      </c>
      <c r="C36" s="68">
        <f t="shared" ref="C36" si="111">12/B36</f>
        <v>1.0909090909090908</v>
      </c>
      <c r="D36" s="68">
        <f t="shared" ref="D36" si="112">C36</f>
        <v>1.0909090909090908</v>
      </c>
      <c r="E36" s="46">
        <v>10.9</v>
      </c>
      <c r="F36" s="68">
        <f>12/E36</f>
        <v>1.1009174311926606</v>
      </c>
      <c r="G36" s="68">
        <f t="shared" ref="G36" si="113">F36</f>
        <v>1.1009174311926606</v>
      </c>
      <c r="H36" s="46">
        <v>10.7</v>
      </c>
      <c r="I36" s="68">
        <f t="shared" ref="I36" si="114">12/H36</f>
        <v>1.1214953271028039</v>
      </c>
      <c r="J36" s="68">
        <f t="shared" ref="J36" si="115">I36</f>
        <v>1.1214953271028039</v>
      </c>
      <c r="K36" s="46">
        <v>9.4</v>
      </c>
      <c r="L36" s="68">
        <f>12/K36</f>
        <v>1.2765957446808509</v>
      </c>
      <c r="M36" s="68">
        <f t="shared" ref="M36" si="116">L36</f>
        <v>1.2765957446808509</v>
      </c>
      <c r="N36" s="46">
        <v>9.4</v>
      </c>
      <c r="O36" s="68">
        <f>12/N36</f>
        <v>1.2765957446808509</v>
      </c>
      <c r="P36" s="68">
        <f t="shared" si="13"/>
        <v>1.2765957446808509</v>
      </c>
      <c r="Q36" s="46">
        <v>10</v>
      </c>
      <c r="R36" s="68">
        <f t="shared" si="15"/>
        <v>1.2</v>
      </c>
      <c r="S36" s="68">
        <f t="shared" si="16"/>
        <v>1.2</v>
      </c>
      <c r="T36" s="46">
        <v>9.6</v>
      </c>
      <c r="U36" s="68">
        <f>12/T36</f>
        <v>1.25</v>
      </c>
      <c r="V36" s="68">
        <f t="shared" si="19"/>
        <v>1.25</v>
      </c>
      <c r="W36" s="46">
        <v>9.6</v>
      </c>
      <c r="X36" s="68">
        <f t="shared" si="21"/>
        <v>1.25</v>
      </c>
      <c r="Y36" s="68">
        <f t="shared" si="22"/>
        <v>1.25</v>
      </c>
      <c r="Z36" s="46">
        <v>9.6</v>
      </c>
      <c r="AA36" s="68">
        <f>12/Z36</f>
        <v>1.25</v>
      </c>
      <c r="AB36" s="68">
        <f t="shared" si="25"/>
        <v>1.25</v>
      </c>
      <c r="AC36" s="46">
        <v>9.6</v>
      </c>
      <c r="AD36" s="68">
        <f>12/AC36</f>
        <v>1.25</v>
      </c>
      <c r="AE36" s="68">
        <f t="shared" si="28"/>
        <v>1.25</v>
      </c>
      <c r="AF36" s="46">
        <v>9.8000000000000007</v>
      </c>
      <c r="AG36" s="68">
        <f t="shared" si="30"/>
        <v>1.2244897959183672</v>
      </c>
      <c r="AH36" s="68">
        <f t="shared" si="31"/>
        <v>1.2244897959183672</v>
      </c>
      <c r="AI36" s="46">
        <v>9.3000000000000007</v>
      </c>
      <c r="AJ36" s="68">
        <f t="shared" si="33"/>
        <v>1.2903225806451613</v>
      </c>
      <c r="AK36" s="68">
        <f t="shared" si="34"/>
        <v>1.2903225806451613</v>
      </c>
      <c r="AL36" s="46">
        <v>9.3000000000000007</v>
      </c>
      <c r="AM36" s="68">
        <f t="shared" si="36"/>
        <v>1.2903225806451613</v>
      </c>
      <c r="AN36" s="68">
        <f t="shared" si="37"/>
        <v>1.2903225806451613</v>
      </c>
      <c r="AO36" s="46">
        <v>8.6999999999999993</v>
      </c>
      <c r="AP36" s="68">
        <f>12/AO36</f>
        <v>1.3793103448275863</v>
      </c>
      <c r="AQ36" s="68">
        <f t="shared" si="40"/>
        <v>1.3793103448275863</v>
      </c>
      <c r="AR36" s="46">
        <v>9.5</v>
      </c>
      <c r="AS36" s="68">
        <f>12/AR36</f>
        <v>1.263157894736842</v>
      </c>
      <c r="AT36" s="68">
        <f t="shared" si="43"/>
        <v>1.263157894736842</v>
      </c>
      <c r="AU36" s="46">
        <v>10.4</v>
      </c>
      <c r="AV36" s="68">
        <f>12/AU36</f>
        <v>1.1538461538461537</v>
      </c>
      <c r="AW36" s="68">
        <f t="shared" si="46"/>
        <v>1.1538461538461537</v>
      </c>
      <c r="AX36" s="37"/>
      <c r="AY36" s="424" t="s">
        <v>1113</v>
      </c>
    </row>
    <row r="37" spans="1:51" ht="14.25" customHeight="1" x14ac:dyDescent="0.25">
      <c r="A37" s="413" t="str">
        <v>CPS</v>
      </c>
      <c r="B37" s="46">
        <v>11</v>
      </c>
      <c r="C37" s="68">
        <f t="shared" si="1"/>
        <v>1.0909090909090908</v>
      </c>
      <c r="D37" s="68">
        <f t="shared" si="2"/>
        <v>1.0909090909090908</v>
      </c>
      <c r="E37" s="46">
        <v>10.9</v>
      </c>
      <c r="F37" s="68">
        <f t="shared" si="3"/>
        <v>1.1009174311926606</v>
      </c>
      <c r="G37" s="68">
        <f t="shared" si="4"/>
        <v>1.1009174311926606</v>
      </c>
      <c r="H37" s="46">
        <v>10.7</v>
      </c>
      <c r="I37" s="68">
        <f t="shared" si="50"/>
        <v>1.1214953271028039</v>
      </c>
      <c r="J37" s="68">
        <f t="shared" si="7"/>
        <v>1.1214953271028039</v>
      </c>
      <c r="K37" s="46">
        <v>9.4</v>
      </c>
      <c r="L37" s="68">
        <f t="shared" si="9"/>
        <v>1.2765957446808509</v>
      </c>
      <c r="M37" s="68">
        <f t="shared" si="10"/>
        <v>1.2765957446808509</v>
      </c>
      <c r="N37" s="46">
        <v>9</v>
      </c>
      <c r="O37" s="68">
        <f t="shared" ref="O37" si="117">12/N37</f>
        <v>1.3333333333333333</v>
      </c>
      <c r="P37" s="68">
        <f t="shared" si="13"/>
        <v>1.3333333333333333</v>
      </c>
      <c r="Q37" s="46">
        <v>10</v>
      </c>
      <c r="R37" s="68">
        <f t="shared" si="15"/>
        <v>1.2</v>
      </c>
      <c r="S37" s="68">
        <f t="shared" si="16"/>
        <v>1.2</v>
      </c>
      <c r="T37" s="46">
        <v>9.6</v>
      </c>
      <c r="U37" s="68">
        <f t="shared" ref="U37" si="118">12/T37</f>
        <v>1.25</v>
      </c>
      <c r="V37" s="68">
        <f t="shared" si="19"/>
        <v>1.25</v>
      </c>
      <c r="W37" s="46">
        <v>9.5</v>
      </c>
      <c r="X37" s="68">
        <f t="shared" si="21"/>
        <v>1.263157894736842</v>
      </c>
      <c r="Y37" s="68">
        <f t="shared" si="22"/>
        <v>1.263157894736842</v>
      </c>
      <c r="Z37" s="46">
        <v>9.3000000000000007</v>
      </c>
      <c r="AA37" s="68">
        <f t="shared" ref="AA37" si="119">12/Z37</f>
        <v>1.2903225806451613</v>
      </c>
      <c r="AB37" s="68">
        <f t="shared" si="25"/>
        <v>1.2903225806451613</v>
      </c>
      <c r="AC37" s="46">
        <v>9.4</v>
      </c>
      <c r="AD37" s="68">
        <f t="shared" ref="AD37" si="120">12/AC37</f>
        <v>1.2765957446808509</v>
      </c>
      <c r="AE37" s="68">
        <f t="shared" si="28"/>
        <v>1.2765957446808509</v>
      </c>
      <c r="AF37" s="46">
        <v>9.8000000000000007</v>
      </c>
      <c r="AG37" s="68">
        <f t="shared" si="30"/>
        <v>1.2244897959183672</v>
      </c>
      <c r="AH37" s="68">
        <f t="shared" si="31"/>
        <v>1.2244897959183672</v>
      </c>
      <c r="AI37" s="46">
        <v>9.3000000000000007</v>
      </c>
      <c r="AJ37" s="68">
        <f t="shared" si="33"/>
        <v>1.2903225806451613</v>
      </c>
      <c r="AK37" s="68">
        <f t="shared" si="34"/>
        <v>1.2903225806451613</v>
      </c>
      <c r="AL37" s="46">
        <v>9.3000000000000007</v>
      </c>
      <c r="AM37" s="68">
        <f t="shared" si="36"/>
        <v>1.2903225806451613</v>
      </c>
      <c r="AN37" s="68">
        <f t="shared" si="37"/>
        <v>1.2903225806451613</v>
      </c>
      <c r="AO37" s="46">
        <v>8.6999999999999993</v>
      </c>
      <c r="AP37" s="68">
        <f t="shared" ref="AP37" si="121">12/AO37</f>
        <v>1.3793103448275863</v>
      </c>
      <c r="AQ37" s="68">
        <f t="shared" si="40"/>
        <v>1.3793103448275863</v>
      </c>
      <c r="AR37" s="46">
        <v>9.5</v>
      </c>
      <c r="AS37" s="68">
        <f t="shared" ref="AS37" si="122">12/AR37</f>
        <v>1.263157894736842</v>
      </c>
      <c r="AT37" s="68">
        <f t="shared" si="43"/>
        <v>1.263157894736842</v>
      </c>
      <c r="AU37" s="46">
        <v>10.4</v>
      </c>
      <c r="AV37" s="68">
        <f t="shared" ref="AV37" si="123">12/AU37</f>
        <v>1.1538461538461537</v>
      </c>
      <c r="AW37" s="68">
        <f t="shared" si="46"/>
        <v>1.1538461538461537</v>
      </c>
      <c r="AX37" s="37"/>
      <c r="AY37" s="424" t="s">
        <v>1113</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dimension ref="A1:AD43"/>
  <sheetViews>
    <sheetView zoomScale="80" zoomScaleNormal="80" workbookViewId="0">
      <selection activeCell="R15" sqref="R15"/>
    </sheetView>
  </sheetViews>
  <sheetFormatPr defaultColWidth="9.140625" defaultRowHeight="15" x14ac:dyDescent="0.25"/>
  <cols>
    <col min="1" max="2" width="9.140625" style="31"/>
    <col min="3" max="3" width="20.28515625" style="32" customWidth="1"/>
    <col min="4" max="4" width="17.85546875" style="32" customWidth="1"/>
    <col min="5" max="5" width="22.7109375" style="32" customWidth="1"/>
    <col min="6" max="6" width="27" style="32" customWidth="1"/>
    <col min="7" max="7" width="23.5703125" style="32" customWidth="1"/>
    <col min="8" max="9" width="23.140625" style="32" customWidth="1"/>
    <col min="10" max="10" width="18.28515625" style="32" customWidth="1"/>
    <col min="11" max="14" width="16.5703125" style="32" customWidth="1"/>
    <col min="15" max="16" width="22.42578125" style="32" customWidth="1"/>
    <col min="17" max="17" width="18.5703125" style="32" customWidth="1"/>
    <col min="18" max="19" width="24.7109375" style="32" customWidth="1"/>
    <col min="20" max="21" width="25.5703125" style="32" customWidth="1"/>
    <col min="22" max="22" width="16" style="32" customWidth="1"/>
    <col min="23" max="24" width="19.85546875" style="32" customWidth="1"/>
    <col min="25" max="26" width="23.42578125" style="32" customWidth="1"/>
    <col min="27" max="27" width="19.5703125" style="32" customWidth="1"/>
    <col min="28" max="29" width="20.7109375" style="32" customWidth="1"/>
    <col min="30" max="30" width="48" style="31" customWidth="1"/>
    <col min="31" max="16384" width="9.140625" style="31"/>
  </cols>
  <sheetData>
    <row r="1" spans="1:30" ht="23.25" x14ac:dyDescent="0.25">
      <c r="A1" s="38" t="s">
        <v>27</v>
      </c>
      <c r="F1" s="37"/>
      <c r="G1" s="37"/>
      <c r="H1" s="37"/>
      <c r="I1" s="37"/>
      <c r="J1" s="37"/>
      <c r="K1" s="37"/>
      <c r="L1" s="37"/>
      <c r="M1" s="37"/>
      <c r="N1" s="37"/>
      <c r="O1" s="37"/>
      <c r="P1" s="37"/>
      <c r="Q1" s="37"/>
      <c r="R1" s="37"/>
      <c r="S1" s="37"/>
      <c r="T1" s="37"/>
      <c r="U1" s="37"/>
      <c r="V1" s="37"/>
      <c r="W1" s="37"/>
      <c r="X1" s="37"/>
      <c r="Y1" s="37"/>
      <c r="Z1" s="37"/>
      <c r="AA1" s="37"/>
      <c r="AB1" s="37"/>
      <c r="AC1" s="37"/>
      <c r="AD1" s="36"/>
    </row>
    <row r="2" spans="1:30" ht="23.25" x14ac:dyDescent="0.25">
      <c r="A2" s="38"/>
      <c r="F2" s="37"/>
      <c r="G2" s="37"/>
      <c r="H2" s="37"/>
      <c r="I2" s="37"/>
      <c r="J2" s="37"/>
      <c r="K2" s="37"/>
      <c r="L2" s="37"/>
      <c r="M2" s="37"/>
      <c r="N2" s="37"/>
      <c r="O2" s="37"/>
      <c r="P2" s="37"/>
      <c r="Q2" s="37"/>
      <c r="R2" s="37"/>
      <c r="S2" s="37"/>
      <c r="T2" s="37"/>
      <c r="U2" s="37"/>
      <c r="V2" s="37"/>
      <c r="W2" s="37"/>
      <c r="X2" s="37"/>
      <c r="Y2" s="37"/>
      <c r="Z2" s="37"/>
      <c r="AA2" s="37"/>
      <c r="AB2" s="37"/>
      <c r="AC2" s="37"/>
      <c r="AD2" s="36"/>
    </row>
    <row r="3" spans="1:30" ht="15.75" thickBot="1" x14ac:dyDescent="0.3">
      <c r="A3" s="36"/>
      <c r="B3" s="36"/>
      <c r="C3" s="942" t="s">
        <v>51</v>
      </c>
      <c r="D3" s="943"/>
      <c r="E3" s="943"/>
      <c r="F3" s="942" t="s">
        <v>52</v>
      </c>
      <c r="G3" s="943"/>
      <c r="H3" s="943"/>
      <c r="I3" s="942" t="s">
        <v>53</v>
      </c>
      <c r="J3" s="943"/>
      <c r="K3" s="943"/>
      <c r="L3" s="37"/>
      <c r="M3" s="37"/>
      <c r="N3" s="37"/>
      <c r="O3" s="942" t="s">
        <v>54</v>
      </c>
      <c r="P3" s="942"/>
      <c r="Q3" s="943"/>
      <c r="R3" s="943"/>
      <c r="S3" s="92"/>
      <c r="T3" s="942" t="s">
        <v>55</v>
      </c>
      <c r="U3" s="942"/>
      <c r="V3" s="943"/>
      <c r="W3" s="943"/>
      <c r="X3" s="92"/>
      <c r="Y3" s="942" t="s">
        <v>56</v>
      </c>
      <c r="Z3" s="942"/>
      <c r="AA3" s="943"/>
      <c r="AB3" s="943"/>
      <c r="AC3" s="37"/>
      <c r="AD3" s="36"/>
    </row>
    <row r="4" spans="1:30" ht="33" customHeight="1" thickBot="1" x14ac:dyDescent="0.3">
      <c r="A4" s="952" t="s">
        <v>26</v>
      </c>
      <c r="B4" s="953"/>
      <c r="C4" s="947" t="s">
        <v>25</v>
      </c>
      <c r="D4" s="948"/>
      <c r="E4" s="948"/>
      <c r="F4" s="949"/>
      <c r="G4" s="950"/>
      <c r="H4" s="950"/>
      <c r="I4" s="951"/>
      <c r="J4" s="73"/>
      <c r="K4" s="73"/>
      <c r="L4" s="37"/>
      <c r="M4" s="37"/>
      <c r="N4" s="37"/>
      <c r="O4" s="947" t="s">
        <v>24</v>
      </c>
      <c r="P4" s="948"/>
      <c r="Q4" s="948"/>
      <c r="R4" s="948"/>
      <c r="S4" s="948"/>
      <c r="T4" s="949"/>
      <c r="U4" s="950"/>
      <c r="V4" s="950"/>
      <c r="W4" s="950"/>
      <c r="X4" s="950"/>
      <c r="Y4" s="951"/>
      <c r="Z4" s="73"/>
      <c r="AA4" s="73"/>
      <c r="AB4" s="73"/>
      <c r="AC4" s="73"/>
      <c r="AD4" s="944" t="s">
        <v>0</v>
      </c>
    </row>
    <row r="5" spans="1:30" s="35" customFormat="1" ht="30" customHeight="1" x14ac:dyDescent="0.25">
      <c r="A5" s="954"/>
      <c r="B5" s="955"/>
      <c r="C5" s="55" t="s">
        <v>23</v>
      </c>
      <c r="D5" s="958" t="s">
        <v>47</v>
      </c>
      <c r="E5" s="959"/>
      <c r="F5" s="41" t="s">
        <v>22</v>
      </c>
      <c r="G5" s="958" t="s">
        <v>47</v>
      </c>
      <c r="H5" s="959"/>
      <c r="I5" s="39" t="s">
        <v>21</v>
      </c>
      <c r="J5" s="958" t="s">
        <v>47</v>
      </c>
      <c r="K5" s="959"/>
      <c r="L5" s="37"/>
      <c r="M5" s="37"/>
      <c r="N5" s="37"/>
      <c r="O5" s="960" t="s">
        <v>23</v>
      </c>
      <c r="P5" s="961"/>
      <c r="Q5" s="958" t="s">
        <v>47</v>
      </c>
      <c r="R5" s="959"/>
      <c r="S5" s="105"/>
      <c r="T5" s="962" t="s">
        <v>22</v>
      </c>
      <c r="U5" s="961"/>
      <c r="V5" s="958" t="s">
        <v>47</v>
      </c>
      <c r="W5" s="959"/>
      <c r="X5" s="103"/>
      <c r="Y5" s="960" t="s">
        <v>21</v>
      </c>
      <c r="Z5" s="961"/>
      <c r="AA5" s="958" t="s">
        <v>47</v>
      </c>
      <c r="AB5" s="959"/>
      <c r="AC5" s="107"/>
      <c r="AD5" s="945"/>
    </row>
    <row r="6" spans="1:30" s="35" customFormat="1" ht="30" customHeight="1" thickBot="1" x14ac:dyDescent="0.3">
      <c r="A6" s="956"/>
      <c r="B6" s="957"/>
      <c r="C6" s="58" t="s">
        <v>7</v>
      </c>
      <c r="D6" s="69" t="s">
        <v>33</v>
      </c>
      <c r="E6" s="70" t="s">
        <v>48</v>
      </c>
      <c r="F6" s="59" t="s">
        <v>7</v>
      </c>
      <c r="G6" s="69" t="s">
        <v>33</v>
      </c>
      <c r="H6" s="70" t="s">
        <v>48</v>
      </c>
      <c r="I6" s="60" t="s">
        <v>7</v>
      </c>
      <c r="J6" s="69" t="s">
        <v>33</v>
      </c>
      <c r="K6" s="70" t="s">
        <v>48</v>
      </c>
      <c r="L6" s="37"/>
      <c r="M6" s="37"/>
      <c r="N6" s="37"/>
      <c r="O6" s="58" t="s">
        <v>7</v>
      </c>
      <c r="P6" s="58" t="s">
        <v>28</v>
      </c>
      <c r="Q6" s="69" t="s">
        <v>33</v>
      </c>
      <c r="R6" s="70" t="s">
        <v>48</v>
      </c>
      <c r="S6" s="106" t="s">
        <v>75</v>
      </c>
      <c r="T6" s="59" t="s">
        <v>7</v>
      </c>
      <c r="U6" s="59" t="s">
        <v>28</v>
      </c>
      <c r="V6" s="69" t="s">
        <v>33</v>
      </c>
      <c r="W6" s="70" t="s">
        <v>48</v>
      </c>
      <c r="X6" s="106" t="s">
        <v>75</v>
      </c>
      <c r="Y6" s="60" t="s">
        <v>7</v>
      </c>
      <c r="Z6" s="60" t="s">
        <v>28</v>
      </c>
      <c r="AA6" s="69" t="s">
        <v>33</v>
      </c>
      <c r="AB6" s="70" t="s">
        <v>48</v>
      </c>
      <c r="AC6" s="106" t="s">
        <v>75</v>
      </c>
      <c r="AD6" s="946"/>
    </row>
    <row r="7" spans="1:30" ht="14.25" customHeight="1" x14ac:dyDescent="0.25">
      <c r="A7" s="939" t="s">
        <v>11</v>
      </c>
      <c r="B7" s="34" cm="1">
        <f t="array" ref="B7:B37">BaselineRow</f>
        <v>1997</v>
      </c>
      <c r="C7" s="89">
        <v>11</v>
      </c>
      <c r="D7" s="71">
        <f>12/C7</f>
        <v>1.0909090909090908</v>
      </c>
      <c r="E7" s="72">
        <f>D7</f>
        <v>1.0909090909090908</v>
      </c>
      <c r="F7" s="89">
        <v>10</v>
      </c>
      <c r="G7" s="71">
        <v>1.2896292315959161</v>
      </c>
      <c r="H7" s="72">
        <v>1.2896292315959161</v>
      </c>
      <c r="I7" s="89">
        <f t="shared" ref="I7:I15" si="0">I$17</f>
        <v>8.6</v>
      </c>
      <c r="J7" s="71">
        <v>1.2896292315959161</v>
      </c>
      <c r="K7" s="72">
        <v>1.2896292315959161</v>
      </c>
      <c r="L7" s="37"/>
      <c r="M7" s="37"/>
      <c r="N7" s="37"/>
      <c r="O7" s="89">
        <f t="shared" ref="O7:P15" si="1">O$17</f>
        <v>8.6</v>
      </c>
      <c r="P7" s="89">
        <f t="shared" si="1"/>
        <v>2.7</v>
      </c>
      <c r="Q7" s="138">
        <v>1.3179571663920921</v>
      </c>
      <c r="R7" s="139">
        <v>1.3179571663920921</v>
      </c>
      <c r="S7" s="657">
        <v>2.81</v>
      </c>
      <c r="T7" s="89">
        <f t="shared" ref="T7:U15" si="2">T$17</f>
        <v>8.6</v>
      </c>
      <c r="U7" s="89">
        <f t="shared" si="2"/>
        <v>2.7</v>
      </c>
      <c r="V7" s="138">
        <v>1.3179571663920921</v>
      </c>
      <c r="W7" s="139">
        <v>1.3179571663920921</v>
      </c>
      <c r="X7" s="657">
        <v>2.81</v>
      </c>
      <c r="Y7" s="89">
        <f t="shared" ref="Y7:Z15" si="3">Y$17</f>
        <v>8.6</v>
      </c>
      <c r="Z7" s="89">
        <f t="shared" si="3"/>
        <v>2.7</v>
      </c>
      <c r="AA7" s="71">
        <v>1.3179571663920921</v>
      </c>
      <c r="AB7" s="72">
        <v>1.3179571663920921</v>
      </c>
      <c r="AC7" s="104">
        <v>2.81</v>
      </c>
      <c r="AD7" s="33" t="s">
        <v>1</v>
      </c>
    </row>
    <row r="8" spans="1:30" ht="14.25" customHeight="1" x14ac:dyDescent="0.25">
      <c r="A8" s="940"/>
      <c r="B8" s="34">
        <v>1998</v>
      </c>
      <c r="C8" s="89">
        <v>11</v>
      </c>
      <c r="D8" s="71">
        <f t="shared" ref="D8:D35" si="4">12/C8</f>
        <v>1.0909090909090908</v>
      </c>
      <c r="E8" s="72">
        <f t="shared" ref="E8:E37" si="5">D8</f>
        <v>1.0909090909090908</v>
      </c>
      <c r="F8" s="89">
        <v>10</v>
      </c>
      <c r="G8" s="71">
        <v>1.2896292315959161</v>
      </c>
      <c r="H8" s="72">
        <v>1.2896292315959161</v>
      </c>
      <c r="I8" s="89">
        <f t="shared" si="0"/>
        <v>8.6</v>
      </c>
      <c r="J8" s="71">
        <v>1.2896292315959161</v>
      </c>
      <c r="K8" s="72">
        <v>1.2896292315959161</v>
      </c>
      <c r="L8" s="37"/>
      <c r="M8" s="37"/>
      <c r="N8" s="37"/>
      <c r="O8" s="89">
        <f t="shared" si="1"/>
        <v>8.6</v>
      </c>
      <c r="P8" s="89">
        <f t="shared" si="1"/>
        <v>2.7</v>
      </c>
      <c r="Q8" s="138">
        <v>1.3179571663920921</v>
      </c>
      <c r="R8" s="139">
        <v>1.3179571663920921</v>
      </c>
      <c r="S8" s="657">
        <v>2.81</v>
      </c>
      <c r="T8" s="89">
        <f t="shared" si="2"/>
        <v>8.6</v>
      </c>
      <c r="U8" s="89">
        <f t="shared" si="2"/>
        <v>2.7</v>
      </c>
      <c r="V8" s="138">
        <v>1.3179571663920921</v>
      </c>
      <c r="W8" s="139">
        <v>1.3179571663920921</v>
      </c>
      <c r="X8" s="657">
        <v>2.81</v>
      </c>
      <c r="Y8" s="89">
        <f t="shared" si="3"/>
        <v>8.6</v>
      </c>
      <c r="Z8" s="89">
        <f t="shared" si="3"/>
        <v>2.7</v>
      </c>
      <c r="AA8" s="71">
        <v>1.3179571663920921</v>
      </c>
      <c r="AB8" s="72">
        <v>1.3179571663920921</v>
      </c>
      <c r="AC8" s="104">
        <v>2.81</v>
      </c>
      <c r="AD8" s="33" t="s">
        <v>1</v>
      </c>
    </row>
    <row r="9" spans="1:30" ht="14.25" customHeight="1" x14ac:dyDescent="0.25">
      <c r="A9" s="940"/>
      <c r="B9" s="34">
        <v>1999</v>
      </c>
      <c r="C9" s="89">
        <v>11</v>
      </c>
      <c r="D9" s="71">
        <f t="shared" si="4"/>
        <v>1.0909090909090908</v>
      </c>
      <c r="E9" s="72">
        <f t="shared" si="5"/>
        <v>1.0909090909090908</v>
      </c>
      <c r="F9" s="89">
        <v>10</v>
      </c>
      <c r="G9" s="71">
        <v>1.2896292315959161</v>
      </c>
      <c r="H9" s="72">
        <v>1.2896292315959161</v>
      </c>
      <c r="I9" s="89">
        <f t="shared" si="0"/>
        <v>8.6</v>
      </c>
      <c r="J9" s="71">
        <v>1.2896292315959161</v>
      </c>
      <c r="K9" s="72">
        <v>1.2896292315959161</v>
      </c>
      <c r="L9" s="37"/>
      <c r="M9" s="37"/>
      <c r="N9" s="37"/>
      <c r="O9" s="89">
        <f t="shared" si="1"/>
        <v>8.6</v>
      </c>
      <c r="P9" s="89">
        <f t="shared" si="1"/>
        <v>2.7</v>
      </c>
      <c r="Q9" s="138">
        <v>1.3179571663920921</v>
      </c>
      <c r="R9" s="139">
        <v>1.3179571663920921</v>
      </c>
      <c r="S9" s="657">
        <v>2.81</v>
      </c>
      <c r="T9" s="89">
        <f t="shared" si="2"/>
        <v>8.6</v>
      </c>
      <c r="U9" s="89">
        <f t="shared" si="2"/>
        <v>2.7</v>
      </c>
      <c r="V9" s="138">
        <v>1.3179571663920921</v>
      </c>
      <c r="W9" s="139">
        <v>1.3179571663920921</v>
      </c>
      <c r="X9" s="657">
        <v>2.81</v>
      </c>
      <c r="Y9" s="89">
        <f t="shared" si="3"/>
        <v>8.6</v>
      </c>
      <c r="Z9" s="89">
        <f t="shared" si="3"/>
        <v>2.7</v>
      </c>
      <c r="AA9" s="71">
        <v>1.3179571663920921</v>
      </c>
      <c r="AB9" s="72">
        <v>1.3179571663920921</v>
      </c>
      <c r="AC9" s="104">
        <v>2.81</v>
      </c>
      <c r="AD9" s="33" t="s">
        <v>1</v>
      </c>
    </row>
    <row r="10" spans="1:30" ht="14.25" customHeight="1" x14ac:dyDescent="0.25">
      <c r="A10" s="940"/>
      <c r="B10" s="34">
        <v>2000</v>
      </c>
      <c r="C10" s="89">
        <v>11</v>
      </c>
      <c r="D10" s="71">
        <f t="shared" si="4"/>
        <v>1.0909090909090908</v>
      </c>
      <c r="E10" s="72">
        <f t="shared" si="5"/>
        <v>1.0909090909090908</v>
      </c>
      <c r="F10" s="89">
        <v>10</v>
      </c>
      <c r="G10" s="71">
        <v>1.2896292315959161</v>
      </c>
      <c r="H10" s="72">
        <v>1.2896292315959161</v>
      </c>
      <c r="I10" s="89">
        <f t="shared" si="0"/>
        <v>8.6</v>
      </c>
      <c r="J10" s="71">
        <v>1.2896292315959161</v>
      </c>
      <c r="K10" s="72">
        <v>1.2896292315959161</v>
      </c>
      <c r="L10" s="37"/>
      <c r="M10" s="37"/>
      <c r="N10" s="37"/>
      <c r="O10" s="89">
        <f t="shared" si="1"/>
        <v>8.6</v>
      </c>
      <c r="P10" s="89">
        <f t="shared" si="1"/>
        <v>2.7</v>
      </c>
      <c r="Q10" s="138">
        <v>1.3179571663920921</v>
      </c>
      <c r="R10" s="139">
        <v>1.3179571663920921</v>
      </c>
      <c r="S10" s="657">
        <v>2.81</v>
      </c>
      <c r="T10" s="89">
        <f t="shared" si="2"/>
        <v>8.6</v>
      </c>
      <c r="U10" s="89">
        <f t="shared" si="2"/>
        <v>2.7</v>
      </c>
      <c r="V10" s="138">
        <v>1.3179571663920921</v>
      </c>
      <c r="W10" s="139">
        <v>1.3179571663920921</v>
      </c>
      <c r="X10" s="657">
        <v>2.81</v>
      </c>
      <c r="Y10" s="89">
        <f t="shared" si="3"/>
        <v>8.6</v>
      </c>
      <c r="Z10" s="89">
        <f t="shared" si="3"/>
        <v>2.7</v>
      </c>
      <c r="AA10" s="71">
        <v>1.3179571663920921</v>
      </c>
      <c r="AB10" s="72">
        <v>1.3179571663920921</v>
      </c>
      <c r="AC10" s="104">
        <v>2.81</v>
      </c>
      <c r="AD10" s="33" t="s">
        <v>1</v>
      </c>
    </row>
    <row r="11" spans="1:30" ht="14.25" customHeight="1" x14ac:dyDescent="0.25">
      <c r="A11" s="940"/>
      <c r="B11" s="34">
        <v>2001</v>
      </c>
      <c r="C11" s="89">
        <v>11</v>
      </c>
      <c r="D11" s="71">
        <f t="shared" si="4"/>
        <v>1.0909090909090908</v>
      </c>
      <c r="E11" s="72">
        <f t="shared" si="5"/>
        <v>1.0909090909090908</v>
      </c>
      <c r="F11" s="89">
        <v>10</v>
      </c>
      <c r="G11" s="71">
        <v>1.2896292315959161</v>
      </c>
      <c r="H11" s="72">
        <v>1.2896292315959161</v>
      </c>
      <c r="I11" s="89">
        <f t="shared" si="0"/>
        <v>8.6</v>
      </c>
      <c r="J11" s="71">
        <v>1.2896292315959161</v>
      </c>
      <c r="K11" s="72">
        <v>1.2896292315959161</v>
      </c>
      <c r="L11" s="37"/>
      <c r="M11" s="37"/>
      <c r="N11" s="37"/>
      <c r="O11" s="89">
        <f t="shared" si="1"/>
        <v>8.6</v>
      </c>
      <c r="P11" s="89">
        <f t="shared" si="1"/>
        <v>2.7</v>
      </c>
      <c r="Q11" s="138">
        <v>1.3179571663920921</v>
      </c>
      <c r="R11" s="139">
        <v>1.3179571663920921</v>
      </c>
      <c r="S11" s="657">
        <v>2.81</v>
      </c>
      <c r="T11" s="89">
        <f t="shared" si="2"/>
        <v>8.6</v>
      </c>
      <c r="U11" s="89">
        <f t="shared" si="2"/>
        <v>2.7</v>
      </c>
      <c r="V11" s="138">
        <v>1.3179571663920921</v>
      </c>
      <c r="W11" s="139">
        <v>1.3179571663920921</v>
      </c>
      <c r="X11" s="657">
        <v>2.81</v>
      </c>
      <c r="Y11" s="89">
        <f t="shared" si="3"/>
        <v>8.6</v>
      </c>
      <c r="Z11" s="89">
        <f t="shared" si="3"/>
        <v>2.7</v>
      </c>
      <c r="AA11" s="71">
        <v>1.3179571663920921</v>
      </c>
      <c r="AB11" s="72">
        <v>1.3179571663920921</v>
      </c>
      <c r="AC11" s="104">
        <v>2.81</v>
      </c>
      <c r="AD11" s="33" t="s">
        <v>3</v>
      </c>
    </row>
    <row r="12" spans="1:30" ht="14.25" customHeight="1" x14ac:dyDescent="0.25">
      <c r="A12" s="940"/>
      <c r="B12" s="34">
        <v>2002</v>
      </c>
      <c r="C12" s="89">
        <v>11</v>
      </c>
      <c r="D12" s="71">
        <f t="shared" si="4"/>
        <v>1.0909090909090908</v>
      </c>
      <c r="E12" s="72">
        <f t="shared" si="5"/>
        <v>1.0909090909090908</v>
      </c>
      <c r="F12" s="89">
        <v>10</v>
      </c>
      <c r="G12" s="71">
        <v>1.2896292315959161</v>
      </c>
      <c r="H12" s="72">
        <v>1.2896292315959161</v>
      </c>
      <c r="I12" s="89">
        <f t="shared" si="0"/>
        <v>8.6</v>
      </c>
      <c r="J12" s="71">
        <v>1.2896292315959161</v>
      </c>
      <c r="K12" s="72">
        <v>1.2896292315959161</v>
      </c>
      <c r="L12" s="37"/>
      <c r="M12" s="37"/>
      <c r="N12" s="37"/>
      <c r="O12" s="89">
        <f t="shared" si="1"/>
        <v>8.6</v>
      </c>
      <c r="P12" s="89">
        <f t="shared" si="1"/>
        <v>2.7</v>
      </c>
      <c r="Q12" s="138">
        <v>1.3179571663920921</v>
      </c>
      <c r="R12" s="139">
        <v>1.3179571663920921</v>
      </c>
      <c r="S12" s="657">
        <v>2.81</v>
      </c>
      <c r="T12" s="89">
        <f t="shared" si="2"/>
        <v>8.6</v>
      </c>
      <c r="U12" s="89">
        <f t="shared" si="2"/>
        <v>2.7</v>
      </c>
      <c r="V12" s="138">
        <v>1.3179571663920921</v>
      </c>
      <c r="W12" s="139">
        <v>1.3179571663920921</v>
      </c>
      <c r="X12" s="657">
        <v>2.81</v>
      </c>
      <c r="Y12" s="89">
        <f t="shared" si="3"/>
        <v>8.6</v>
      </c>
      <c r="Z12" s="89">
        <f t="shared" si="3"/>
        <v>2.7</v>
      </c>
      <c r="AA12" s="71">
        <v>1.3179571663920921</v>
      </c>
      <c r="AB12" s="72">
        <v>1.3179571663920921</v>
      </c>
      <c r="AC12" s="104">
        <v>2.81</v>
      </c>
      <c r="AD12" s="33" t="s">
        <v>3</v>
      </c>
    </row>
    <row r="13" spans="1:30" ht="14.25" customHeight="1" x14ac:dyDescent="0.25">
      <c r="A13" s="940"/>
      <c r="B13" s="34">
        <v>2003</v>
      </c>
      <c r="C13" s="89">
        <v>11</v>
      </c>
      <c r="D13" s="71">
        <f t="shared" si="4"/>
        <v>1.0909090909090908</v>
      </c>
      <c r="E13" s="72">
        <f t="shared" si="5"/>
        <v>1.0909090909090908</v>
      </c>
      <c r="F13" s="89">
        <v>10</v>
      </c>
      <c r="G13" s="71">
        <v>1.2896292315959161</v>
      </c>
      <c r="H13" s="72">
        <v>1.2896292315959161</v>
      </c>
      <c r="I13" s="89">
        <f t="shared" si="0"/>
        <v>8.6</v>
      </c>
      <c r="J13" s="71">
        <v>1.2896292315959161</v>
      </c>
      <c r="K13" s="72">
        <v>1.2896292315959161</v>
      </c>
      <c r="L13" s="37"/>
      <c r="M13" s="37"/>
      <c r="N13" s="37"/>
      <c r="O13" s="89">
        <f t="shared" si="1"/>
        <v>8.6</v>
      </c>
      <c r="P13" s="89">
        <f t="shared" si="1"/>
        <v>2.7</v>
      </c>
      <c r="Q13" s="138">
        <v>1.3179571663920921</v>
      </c>
      <c r="R13" s="139">
        <v>1.3179571663920921</v>
      </c>
      <c r="S13" s="657">
        <v>2.81</v>
      </c>
      <c r="T13" s="89">
        <f t="shared" si="2"/>
        <v>8.6</v>
      </c>
      <c r="U13" s="89">
        <f t="shared" si="2"/>
        <v>2.7</v>
      </c>
      <c r="V13" s="138">
        <v>1.3179571663920921</v>
      </c>
      <c r="W13" s="139">
        <v>1.3179571663920921</v>
      </c>
      <c r="X13" s="657">
        <v>2.81</v>
      </c>
      <c r="Y13" s="89">
        <f t="shared" si="3"/>
        <v>8.6</v>
      </c>
      <c r="Z13" s="89">
        <f t="shared" si="3"/>
        <v>2.7</v>
      </c>
      <c r="AA13" s="71">
        <v>1.3179571663920921</v>
      </c>
      <c r="AB13" s="72">
        <v>1.3179571663920921</v>
      </c>
      <c r="AC13" s="104">
        <v>2.81</v>
      </c>
      <c r="AD13" s="33" t="s">
        <v>20</v>
      </c>
    </row>
    <row r="14" spans="1:30" ht="14.25" customHeight="1" x14ac:dyDescent="0.25">
      <c r="A14" s="940"/>
      <c r="B14" s="34">
        <v>2004</v>
      </c>
      <c r="C14" s="89">
        <v>11</v>
      </c>
      <c r="D14" s="71">
        <f t="shared" si="4"/>
        <v>1.0909090909090908</v>
      </c>
      <c r="E14" s="72">
        <f t="shared" si="5"/>
        <v>1.0909090909090908</v>
      </c>
      <c r="F14" s="89">
        <v>10</v>
      </c>
      <c r="G14" s="71">
        <v>1.2896292315959161</v>
      </c>
      <c r="H14" s="72">
        <v>1.2896292315959161</v>
      </c>
      <c r="I14" s="89">
        <f t="shared" si="0"/>
        <v>8.6</v>
      </c>
      <c r="J14" s="71">
        <v>1.2896292315959161</v>
      </c>
      <c r="K14" s="72">
        <v>1.2896292315959161</v>
      </c>
      <c r="L14" s="37"/>
      <c r="M14" s="37"/>
      <c r="N14" s="37"/>
      <c r="O14" s="89">
        <f t="shared" si="1"/>
        <v>8.6</v>
      </c>
      <c r="P14" s="89">
        <f t="shared" si="1"/>
        <v>2.7</v>
      </c>
      <c r="Q14" s="138">
        <v>1.3179571663920921</v>
      </c>
      <c r="R14" s="139">
        <v>1.3179571663920921</v>
      </c>
      <c r="S14" s="657">
        <v>2.81</v>
      </c>
      <c r="T14" s="89">
        <f t="shared" si="2"/>
        <v>8.6</v>
      </c>
      <c r="U14" s="89">
        <f t="shared" si="2"/>
        <v>2.7</v>
      </c>
      <c r="V14" s="138">
        <v>1.3179571663920921</v>
      </c>
      <c r="W14" s="139">
        <v>1.3179571663920921</v>
      </c>
      <c r="X14" s="657">
        <v>2.81</v>
      </c>
      <c r="Y14" s="89">
        <f t="shared" si="3"/>
        <v>8.6</v>
      </c>
      <c r="Z14" s="89">
        <f t="shared" si="3"/>
        <v>2.7</v>
      </c>
      <c r="AA14" s="71">
        <v>1.3179571663920921</v>
      </c>
      <c r="AB14" s="72">
        <v>1.3179571663920921</v>
      </c>
      <c r="AC14" s="104">
        <v>2.81</v>
      </c>
      <c r="AD14" s="33" t="s">
        <v>4</v>
      </c>
    </row>
    <row r="15" spans="1:30" ht="14.25" customHeight="1" x14ac:dyDescent="0.25">
      <c r="A15" s="940"/>
      <c r="B15" s="34">
        <v>2005</v>
      </c>
      <c r="C15" s="89">
        <v>11</v>
      </c>
      <c r="D15" s="71">
        <f t="shared" si="4"/>
        <v>1.0909090909090908</v>
      </c>
      <c r="E15" s="72">
        <f t="shared" si="5"/>
        <v>1.0909090909090908</v>
      </c>
      <c r="F15" s="89">
        <v>10</v>
      </c>
      <c r="G15" s="71">
        <v>1.2896292315959161</v>
      </c>
      <c r="H15" s="72">
        <v>1.2896292315959161</v>
      </c>
      <c r="I15" s="89">
        <f t="shared" si="0"/>
        <v>8.6</v>
      </c>
      <c r="J15" s="71">
        <v>1.2896292315959161</v>
      </c>
      <c r="K15" s="72">
        <v>1.2896292315959161</v>
      </c>
      <c r="L15" s="37"/>
      <c r="M15" s="37"/>
      <c r="N15" s="37"/>
      <c r="O15" s="89">
        <f t="shared" si="1"/>
        <v>8.6</v>
      </c>
      <c r="P15" s="89">
        <f t="shared" si="1"/>
        <v>2.7</v>
      </c>
      <c r="Q15" s="138">
        <v>1.3179571663920921</v>
      </c>
      <c r="R15" s="139">
        <v>1.3179571663920921</v>
      </c>
      <c r="S15" s="657">
        <v>2.81</v>
      </c>
      <c r="T15" s="89">
        <f t="shared" si="2"/>
        <v>8.6</v>
      </c>
      <c r="U15" s="89">
        <f t="shared" si="2"/>
        <v>2.7</v>
      </c>
      <c r="V15" s="138">
        <v>1.3179571663920921</v>
      </c>
      <c r="W15" s="139">
        <v>1.3179571663920921</v>
      </c>
      <c r="X15" s="657">
        <v>2.81</v>
      </c>
      <c r="Y15" s="89">
        <f t="shared" si="3"/>
        <v>8.6</v>
      </c>
      <c r="Z15" s="89">
        <f t="shared" si="3"/>
        <v>2.7</v>
      </c>
      <c r="AA15" s="71">
        <v>1.3179571663920921</v>
      </c>
      <c r="AB15" s="72">
        <v>1.3179571663920921</v>
      </c>
      <c r="AC15" s="104">
        <v>2.81</v>
      </c>
      <c r="AD15" s="33" t="s">
        <v>4</v>
      </c>
    </row>
    <row r="16" spans="1:30" ht="14.25" customHeight="1" x14ac:dyDescent="0.25">
      <c r="A16" s="940"/>
      <c r="B16" s="34">
        <v>2006</v>
      </c>
      <c r="C16" s="52">
        <v>11</v>
      </c>
      <c r="D16" s="71">
        <f t="shared" si="4"/>
        <v>1.0909090909090908</v>
      </c>
      <c r="E16" s="72">
        <f t="shared" si="5"/>
        <v>1.0909090909090908</v>
      </c>
      <c r="F16" s="45">
        <v>10</v>
      </c>
      <c r="G16" s="71">
        <v>1.2896292315959161</v>
      </c>
      <c r="H16" s="72">
        <v>1.2896292315959161</v>
      </c>
      <c r="I16" s="56">
        <v>8.6</v>
      </c>
      <c r="J16" s="71">
        <v>1.2896292315959161</v>
      </c>
      <c r="K16" s="72">
        <v>1.2896292315959161</v>
      </c>
      <c r="L16" s="37"/>
      <c r="M16" s="37"/>
      <c r="N16" s="37"/>
      <c r="O16" s="52">
        <v>8.6</v>
      </c>
      <c r="P16" s="52">
        <v>2.7</v>
      </c>
      <c r="Q16" s="138">
        <v>1.3179571663920921</v>
      </c>
      <c r="R16" s="139">
        <v>1.3179571663920921</v>
      </c>
      <c r="S16" s="657">
        <v>2.81</v>
      </c>
      <c r="T16" s="45">
        <v>8.6</v>
      </c>
      <c r="U16" s="45">
        <v>2.7</v>
      </c>
      <c r="V16" s="138">
        <v>1.3179571663920921</v>
      </c>
      <c r="W16" s="139">
        <v>1.3179571663920921</v>
      </c>
      <c r="X16" s="657">
        <v>2.81</v>
      </c>
      <c r="Y16" s="56">
        <v>8.6</v>
      </c>
      <c r="Z16" s="56">
        <v>2.7</v>
      </c>
      <c r="AA16" s="71">
        <v>1.3179571663920921</v>
      </c>
      <c r="AB16" s="72">
        <v>1.3179571663920921</v>
      </c>
      <c r="AC16" s="104">
        <v>2.81</v>
      </c>
      <c r="AD16" s="33" t="s">
        <v>5</v>
      </c>
    </row>
    <row r="17" spans="1:30" ht="14.25" customHeight="1" x14ac:dyDescent="0.25">
      <c r="A17" s="940"/>
      <c r="B17" s="34">
        <v>2007</v>
      </c>
      <c r="C17" s="52">
        <v>11</v>
      </c>
      <c r="D17" s="71">
        <f t="shared" si="4"/>
        <v>1.0909090909090908</v>
      </c>
      <c r="E17" s="72">
        <f t="shared" si="5"/>
        <v>1.0909090909090908</v>
      </c>
      <c r="F17" s="45">
        <v>10</v>
      </c>
      <c r="G17" s="71">
        <v>1.2896292315959161</v>
      </c>
      <c r="H17" s="72">
        <v>1.2896292315959161</v>
      </c>
      <c r="I17" s="56">
        <v>8.6</v>
      </c>
      <c r="J17" s="71">
        <v>1.2896292315959161</v>
      </c>
      <c r="K17" s="72">
        <v>1.2896292315959161</v>
      </c>
      <c r="L17" s="37"/>
      <c r="M17" s="37"/>
      <c r="N17" s="37"/>
      <c r="O17" s="52">
        <v>8.6</v>
      </c>
      <c r="P17" s="52">
        <v>2.7</v>
      </c>
      <c r="Q17" s="138">
        <v>1.3179571663920921</v>
      </c>
      <c r="R17" s="139">
        <v>1.3179571663920921</v>
      </c>
      <c r="S17" s="657">
        <v>2.81</v>
      </c>
      <c r="T17" s="45">
        <v>8.6</v>
      </c>
      <c r="U17" s="45">
        <v>2.7</v>
      </c>
      <c r="V17" s="138">
        <v>1.3179571663920921</v>
      </c>
      <c r="W17" s="139">
        <v>1.3179571663920921</v>
      </c>
      <c r="X17" s="657">
        <v>2.81</v>
      </c>
      <c r="Y17" s="56">
        <v>8.6</v>
      </c>
      <c r="Z17" s="56">
        <v>2.7</v>
      </c>
      <c r="AA17" s="71">
        <v>1.3179571663920921</v>
      </c>
      <c r="AB17" s="72">
        <v>1.3179571663920921</v>
      </c>
      <c r="AC17" s="104">
        <v>2.81</v>
      </c>
      <c r="AD17" s="33" t="s">
        <v>5</v>
      </c>
    </row>
    <row r="18" spans="1:30" ht="14.25" customHeight="1" x14ac:dyDescent="0.25">
      <c r="A18" s="940"/>
      <c r="B18" s="34">
        <v>2008</v>
      </c>
      <c r="C18" s="52">
        <v>11</v>
      </c>
      <c r="D18" s="71">
        <f t="shared" si="4"/>
        <v>1.0909090909090908</v>
      </c>
      <c r="E18" s="72">
        <f t="shared" si="5"/>
        <v>1.0909090909090908</v>
      </c>
      <c r="F18" s="45">
        <v>10</v>
      </c>
      <c r="G18" s="71">
        <v>1.2896292315959161</v>
      </c>
      <c r="H18" s="72">
        <v>1.2896292315959161</v>
      </c>
      <c r="I18" s="56">
        <v>8.6</v>
      </c>
      <c r="J18" s="71">
        <v>1.2896292315959161</v>
      </c>
      <c r="K18" s="72">
        <v>1.2896292315959161</v>
      </c>
      <c r="L18" s="37"/>
      <c r="M18" s="37"/>
      <c r="N18" s="37"/>
      <c r="O18" s="52">
        <v>8.6</v>
      </c>
      <c r="P18" s="52">
        <v>2.7</v>
      </c>
      <c r="Q18" s="138">
        <v>1.3179571663920921</v>
      </c>
      <c r="R18" s="139">
        <v>1.3179571663920921</v>
      </c>
      <c r="S18" s="657">
        <v>2.81</v>
      </c>
      <c r="T18" s="45">
        <v>8.6</v>
      </c>
      <c r="U18" s="45">
        <v>2.7</v>
      </c>
      <c r="V18" s="138">
        <v>1.3179571663920921</v>
      </c>
      <c r="W18" s="139">
        <v>1.3179571663920921</v>
      </c>
      <c r="X18" s="657">
        <v>2.81</v>
      </c>
      <c r="Y18" s="56">
        <v>8.6</v>
      </c>
      <c r="Z18" s="56">
        <v>2.7</v>
      </c>
      <c r="AA18" s="71">
        <v>1.3179571663920921</v>
      </c>
      <c r="AB18" s="72">
        <v>1.3179571663920921</v>
      </c>
      <c r="AC18" s="104">
        <v>2.81</v>
      </c>
      <c r="AD18" s="33" t="s">
        <v>19</v>
      </c>
    </row>
    <row r="19" spans="1:30" ht="14.25" customHeight="1" x14ac:dyDescent="0.25">
      <c r="A19" s="940"/>
      <c r="B19" s="34">
        <v>2009</v>
      </c>
      <c r="C19" s="52">
        <v>11</v>
      </c>
      <c r="D19" s="71">
        <f t="shared" si="4"/>
        <v>1.0909090909090908</v>
      </c>
      <c r="E19" s="72">
        <f t="shared" si="5"/>
        <v>1.0909090909090908</v>
      </c>
      <c r="F19" s="45">
        <v>10</v>
      </c>
      <c r="G19" s="71">
        <v>1.2896292315959161</v>
      </c>
      <c r="H19" s="72">
        <v>1.2896292315959161</v>
      </c>
      <c r="I19" s="56">
        <v>8.6</v>
      </c>
      <c r="J19" s="71">
        <v>1.2896292315959161</v>
      </c>
      <c r="K19" s="72">
        <v>1.2896292315959161</v>
      </c>
      <c r="L19" s="37"/>
      <c r="M19" s="37"/>
      <c r="N19" s="37"/>
      <c r="O19" s="52">
        <v>9</v>
      </c>
      <c r="P19" s="52">
        <v>3</v>
      </c>
      <c r="Q19" s="138">
        <v>1.3179571663920921</v>
      </c>
      <c r="R19" s="139">
        <v>1.3179571663920921</v>
      </c>
      <c r="S19" s="657">
        <v>2.81</v>
      </c>
      <c r="T19" s="45">
        <v>8.9</v>
      </c>
      <c r="U19" s="45">
        <v>3</v>
      </c>
      <c r="V19" s="138">
        <v>1.3179571663920921</v>
      </c>
      <c r="W19" s="139">
        <v>1.3179571663920921</v>
      </c>
      <c r="X19" s="657">
        <v>2.81</v>
      </c>
      <c r="Y19" s="56">
        <v>8.6</v>
      </c>
      <c r="Z19" s="56">
        <v>2.9</v>
      </c>
      <c r="AA19" s="71">
        <v>1.3179571663920921</v>
      </c>
      <c r="AB19" s="72">
        <v>1.3179571663920921</v>
      </c>
      <c r="AC19" s="104">
        <v>2.81</v>
      </c>
      <c r="AD19" s="33" t="s">
        <v>18</v>
      </c>
    </row>
    <row r="20" spans="1:30" ht="14.25" customHeight="1" x14ac:dyDescent="0.25">
      <c r="A20" s="940"/>
      <c r="B20" s="34">
        <v>2010</v>
      </c>
      <c r="C20" s="52">
        <v>11</v>
      </c>
      <c r="D20" s="71">
        <f t="shared" si="4"/>
        <v>1.0909090909090908</v>
      </c>
      <c r="E20" s="72">
        <f t="shared" si="5"/>
        <v>1.0909090909090908</v>
      </c>
      <c r="F20" s="45">
        <v>10</v>
      </c>
      <c r="G20" s="71">
        <v>1.2896292315959161</v>
      </c>
      <c r="H20" s="72">
        <v>1.2896292315959161</v>
      </c>
      <c r="I20" s="56">
        <v>8.6</v>
      </c>
      <c r="J20" s="71">
        <v>1.2896292315959161</v>
      </c>
      <c r="K20" s="72">
        <v>1.2896292315959161</v>
      </c>
      <c r="L20" s="37"/>
      <c r="M20" s="37"/>
      <c r="N20" s="37"/>
      <c r="O20" s="52">
        <v>9</v>
      </c>
      <c r="P20" s="52">
        <v>3</v>
      </c>
      <c r="Q20" s="138">
        <v>1.3179571663920921</v>
      </c>
      <c r="R20" s="139">
        <v>1.3179571663920921</v>
      </c>
      <c r="S20" s="657">
        <v>2.81</v>
      </c>
      <c r="T20" s="45">
        <v>8.9</v>
      </c>
      <c r="U20" s="45">
        <v>3</v>
      </c>
      <c r="V20" s="138">
        <v>1.3179571663920921</v>
      </c>
      <c r="W20" s="139">
        <v>1.3179571663920921</v>
      </c>
      <c r="X20" s="657">
        <v>2.81</v>
      </c>
      <c r="Y20" s="56">
        <v>8.6</v>
      </c>
      <c r="Z20" s="56">
        <v>2.9</v>
      </c>
      <c r="AA20" s="71">
        <v>1.3179571663920921</v>
      </c>
      <c r="AB20" s="72">
        <v>1.3179571663920921</v>
      </c>
      <c r="AC20" s="104">
        <v>2.81</v>
      </c>
      <c r="AD20" s="33" t="s">
        <v>18</v>
      </c>
    </row>
    <row r="21" spans="1:30" ht="14.25" customHeight="1" x14ac:dyDescent="0.25">
      <c r="A21" s="940"/>
      <c r="B21" s="34">
        <v>2011</v>
      </c>
      <c r="C21" s="52">
        <v>11</v>
      </c>
      <c r="D21" s="71">
        <f t="shared" si="4"/>
        <v>1.0909090909090908</v>
      </c>
      <c r="E21" s="72">
        <f t="shared" si="5"/>
        <v>1.0909090909090908</v>
      </c>
      <c r="F21" s="45">
        <v>10</v>
      </c>
      <c r="G21" s="71">
        <v>1.2896292315959161</v>
      </c>
      <c r="H21" s="72">
        <v>1.2896292315959161</v>
      </c>
      <c r="I21" s="56">
        <v>8.6</v>
      </c>
      <c r="J21" s="71">
        <v>1.2896292315959161</v>
      </c>
      <c r="K21" s="72">
        <v>1.2896292315959161</v>
      </c>
      <c r="L21" s="37"/>
      <c r="M21" s="37"/>
      <c r="N21" s="37"/>
      <c r="O21" s="52">
        <v>9</v>
      </c>
      <c r="P21" s="52">
        <v>3</v>
      </c>
      <c r="Q21" s="138">
        <v>1.3179571663920921</v>
      </c>
      <c r="R21" s="139">
        <v>1.3179571663920921</v>
      </c>
      <c r="S21" s="657">
        <v>2.81</v>
      </c>
      <c r="T21" s="45">
        <v>8.9</v>
      </c>
      <c r="U21" s="45">
        <v>3</v>
      </c>
      <c r="V21" s="138">
        <v>1.3179571663920921</v>
      </c>
      <c r="W21" s="139">
        <v>1.3179571663920921</v>
      </c>
      <c r="X21" s="657">
        <v>2.81</v>
      </c>
      <c r="Y21" s="56">
        <v>8.6</v>
      </c>
      <c r="Z21" s="56">
        <v>2.9</v>
      </c>
      <c r="AA21" s="71">
        <v>1.3179571663920921</v>
      </c>
      <c r="AB21" s="72">
        <v>1.3179571663920921</v>
      </c>
      <c r="AC21" s="104">
        <v>2.81</v>
      </c>
      <c r="AD21" s="33" t="s">
        <v>17</v>
      </c>
    </row>
    <row r="22" spans="1:30" ht="14.25" customHeight="1" x14ac:dyDescent="0.25">
      <c r="A22" s="940"/>
      <c r="B22" s="34">
        <v>2012</v>
      </c>
      <c r="C22" s="52">
        <v>11</v>
      </c>
      <c r="D22" s="71">
        <f t="shared" si="4"/>
        <v>1.0909090909090908</v>
      </c>
      <c r="E22" s="72">
        <f t="shared" si="5"/>
        <v>1.0909090909090908</v>
      </c>
      <c r="F22" s="45">
        <v>10</v>
      </c>
      <c r="G22" s="71">
        <v>1.2896292315959161</v>
      </c>
      <c r="H22" s="72">
        <v>1.2896292315959161</v>
      </c>
      <c r="I22" s="56">
        <v>8.6</v>
      </c>
      <c r="J22" s="71">
        <v>1.2896292315959161</v>
      </c>
      <c r="K22" s="72">
        <v>1.2896292315959161</v>
      </c>
      <c r="L22" s="37"/>
      <c r="M22" s="37"/>
      <c r="N22" s="37"/>
      <c r="O22" s="52">
        <v>9</v>
      </c>
      <c r="P22" s="52">
        <v>3</v>
      </c>
      <c r="Q22" s="138">
        <v>1.3179571663920921</v>
      </c>
      <c r="R22" s="139">
        <v>1.3179571663920921</v>
      </c>
      <c r="S22" s="657">
        <v>2.81</v>
      </c>
      <c r="T22" s="45">
        <v>8.9</v>
      </c>
      <c r="U22" s="45">
        <v>3</v>
      </c>
      <c r="V22" s="138">
        <v>1.3179571663920921</v>
      </c>
      <c r="W22" s="139">
        <v>1.3179571663920921</v>
      </c>
      <c r="X22" s="657">
        <v>2.81</v>
      </c>
      <c r="Y22" s="56">
        <v>8.6</v>
      </c>
      <c r="Z22" s="56">
        <v>2.9</v>
      </c>
      <c r="AA22" s="71">
        <v>1.3179571663920921</v>
      </c>
      <c r="AB22" s="72">
        <v>1.3179571663920921</v>
      </c>
      <c r="AC22" s="104">
        <v>2.81</v>
      </c>
      <c r="AD22" s="33" t="s">
        <v>16</v>
      </c>
    </row>
    <row r="23" spans="1:30" ht="14.25" customHeight="1" x14ac:dyDescent="0.25">
      <c r="A23" s="940"/>
      <c r="B23" s="34">
        <v>2013</v>
      </c>
      <c r="C23" s="52">
        <v>11</v>
      </c>
      <c r="D23" s="71">
        <f t="shared" si="4"/>
        <v>1.0909090909090908</v>
      </c>
      <c r="E23" s="72">
        <f t="shared" si="5"/>
        <v>1.0909090909090908</v>
      </c>
      <c r="F23" s="45">
        <v>10</v>
      </c>
      <c r="G23" s="71">
        <v>1.2896292315959161</v>
      </c>
      <c r="H23" s="72">
        <v>1.2896292315959161</v>
      </c>
      <c r="I23" s="56">
        <v>8.6</v>
      </c>
      <c r="J23" s="71">
        <v>1.2896292315959161</v>
      </c>
      <c r="K23" s="72">
        <v>1.2896292315959161</v>
      </c>
      <c r="L23" s="37"/>
      <c r="M23" s="37"/>
      <c r="N23" s="37"/>
      <c r="O23" s="52">
        <v>9</v>
      </c>
      <c r="P23" s="52">
        <v>3</v>
      </c>
      <c r="Q23" s="138">
        <v>1.3179571663920921</v>
      </c>
      <c r="R23" s="139">
        <v>1.3179571663920921</v>
      </c>
      <c r="S23" s="657">
        <v>2.81</v>
      </c>
      <c r="T23" s="45">
        <v>8.9</v>
      </c>
      <c r="U23" s="45">
        <v>3</v>
      </c>
      <c r="V23" s="138">
        <v>1.3179571663920921</v>
      </c>
      <c r="W23" s="139">
        <v>1.3179571663920921</v>
      </c>
      <c r="X23" s="657">
        <v>2.81</v>
      </c>
      <c r="Y23" s="56">
        <v>8.6</v>
      </c>
      <c r="Z23" s="56">
        <v>2.9</v>
      </c>
      <c r="AA23" s="71">
        <v>1.3179571663920921</v>
      </c>
      <c r="AB23" s="72">
        <v>1.3179571663920921</v>
      </c>
      <c r="AC23" s="104">
        <v>2.81</v>
      </c>
      <c r="AD23" s="33" t="s">
        <v>16</v>
      </c>
    </row>
    <row r="24" spans="1:30" ht="14.25" customHeight="1" x14ac:dyDescent="0.25">
      <c r="A24" s="940"/>
      <c r="B24" s="34">
        <v>2014</v>
      </c>
      <c r="C24" s="52">
        <v>11</v>
      </c>
      <c r="D24" s="71">
        <f t="shared" si="4"/>
        <v>1.0909090909090908</v>
      </c>
      <c r="E24" s="72">
        <f t="shared" si="5"/>
        <v>1.0909090909090908</v>
      </c>
      <c r="F24" s="45">
        <v>10</v>
      </c>
      <c r="G24" s="71">
        <v>1.2896292315959161</v>
      </c>
      <c r="H24" s="72">
        <v>1.2896292315959161</v>
      </c>
      <c r="I24" s="56">
        <v>8.6</v>
      </c>
      <c r="J24" s="71">
        <v>1.2896292315959161</v>
      </c>
      <c r="K24" s="72">
        <v>1.2896292315959161</v>
      </c>
      <c r="L24" s="37"/>
      <c r="M24" s="37"/>
      <c r="N24" s="37"/>
      <c r="O24" s="52">
        <v>9</v>
      </c>
      <c r="P24" s="52">
        <v>3</v>
      </c>
      <c r="Q24" s="138">
        <v>1.3179571663920921</v>
      </c>
      <c r="R24" s="139">
        <v>1.3179571663920921</v>
      </c>
      <c r="S24" s="657">
        <v>2.81</v>
      </c>
      <c r="T24" s="45">
        <v>8.9</v>
      </c>
      <c r="U24" s="45">
        <v>3</v>
      </c>
      <c r="V24" s="138">
        <v>1.3179571663920921</v>
      </c>
      <c r="W24" s="139">
        <v>1.3179571663920921</v>
      </c>
      <c r="X24" s="657">
        <v>2.81</v>
      </c>
      <c r="Y24" s="56">
        <v>8.6</v>
      </c>
      <c r="Z24" s="56">
        <v>2.9</v>
      </c>
      <c r="AA24" s="71">
        <v>1.3179571663920921</v>
      </c>
      <c r="AB24" s="72">
        <v>1.3179571663920921</v>
      </c>
      <c r="AC24" s="104">
        <v>2.81</v>
      </c>
      <c r="AD24" s="33" t="s">
        <v>16</v>
      </c>
    </row>
    <row r="25" spans="1:30" ht="14.25" customHeight="1" x14ac:dyDescent="0.25">
      <c r="A25" s="940"/>
      <c r="B25" s="34">
        <v>2015</v>
      </c>
      <c r="C25" s="52">
        <v>11</v>
      </c>
      <c r="D25" s="71">
        <f t="shared" si="4"/>
        <v>1.0909090909090908</v>
      </c>
      <c r="E25" s="72">
        <f t="shared" si="5"/>
        <v>1.0909090909090908</v>
      </c>
      <c r="F25" s="45">
        <v>10</v>
      </c>
      <c r="G25" s="71">
        <v>1.2896292315959161</v>
      </c>
      <c r="H25" s="72">
        <v>1.2896292315959161</v>
      </c>
      <c r="I25" s="56">
        <v>8.6</v>
      </c>
      <c r="J25" s="71">
        <v>1.2896292315959161</v>
      </c>
      <c r="K25" s="72">
        <v>1.2896292315959161</v>
      </c>
      <c r="L25" s="37"/>
      <c r="M25" s="37"/>
      <c r="N25" s="37"/>
      <c r="O25" s="52">
        <v>9</v>
      </c>
      <c r="P25" s="52">
        <v>3</v>
      </c>
      <c r="Q25" s="138">
        <v>1.3179571663920921</v>
      </c>
      <c r="R25" s="139">
        <v>1.3179571663920921</v>
      </c>
      <c r="S25" s="657">
        <v>2.81</v>
      </c>
      <c r="T25" s="45">
        <v>8.9</v>
      </c>
      <c r="U25" s="45">
        <v>3</v>
      </c>
      <c r="V25" s="138">
        <v>1.3179571663920921</v>
      </c>
      <c r="W25" s="139">
        <v>1.3179571663920921</v>
      </c>
      <c r="X25" s="657">
        <v>2.81</v>
      </c>
      <c r="Y25" s="56">
        <v>8.6</v>
      </c>
      <c r="Z25" s="56">
        <v>2.9</v>
      </c>
      <c r="AA25" s="71">
        <v>1.3179571663920921</v>
      </c>
      <c r="AB25" s="72">
        <v>1.3179571663920921</v>
      </c>
      <c r="AC25" s="104">
        <v>2.81</v>
      </c>
      <c r="AD25" s="33"/>
    </row>
    <row r="26" spans="1:30" ht="14.25" customHeight="1" x14ac:dyDescent="0.25">
      <c r="A26" s="940"/>
      <c r="B26" s="34">
        <v>2016</v>
      </c>
      <c r="C26" s="52">
        <v>11</v>
      </c>
      <c r="D26" s="71">
        <f t="shared" si="4"/>
        <v>1.0909090909090908</v>
      </c>
      <c r="E26" s="72">
        <f t="shared" si="5"/>
        <v>1.0909090909090908</v>
      </c>
      <c r="F26" s="45">
        <v>10</v>
      </c>
      <c r="G26" s="71">
        <v>1.2896292315959161</v>
      </c>
      <c r="H26" s="72">
        <v>1.2896292315959161</v>
      </c>
      <c r="I26" s="56">
        <v>8.6</v>
      </c>
      <c r="J26" s="71">
        <v>1.2896292315959161</v>
      </c>
      <c r="K26" s="72">
        <v>1.2896292315959161</v>
      </c>
      <c r="L26" s="37"/>
      <c r="M26" s="37"/>
      <c r="N26" s="37"/>
      <c r="O26" s="52">
        <v>9</v>
      </c>
      <c r="P26" s="52">
        <v>3</v>
      </c>
      <c r="Q26" s="138">
        <v>1.3179571663920921</v>
      </c>
      <c r="R26" s="139">
        <v>1.3179571663920921</v>
      </c>
      <c r="S26" s="657">
        <v>2.81</v>
      </c>
      <c r="T26" s="45">
        <v>8.9</v>
      </c>
      <c r="U26" s="45">
        <v>3</v>
      </c>
      <c r="V26" s="138">
        <v>1.3179571663920921</v>
      </c>
      <c r="W26" s="139">
        <v>1.3179571663920921</v>
      </c>
      <c r="X26" s="657">
        <v>2.81</v>
      </c>
      <c r="Y26" s="56">
        <v>8.6</v>
      </c>
      <c r="Z26" s="56">
        <v>2.9</v>
      </c>
      <c r="AA26" s="71">
        <v>1.3179571663920921</v>
      </c>
      <c r="AB26" s="72">
        <v>1.3179571663920921</v>
      </c>
      <c r="AC26" s="104">
        <v>2.81</v>
      </c>
      <c r="AD26" s="33"/>
    </row>
    <row r="27" spans="1:30" ht="14.25" customHeight="1" x14ac:dyDescent="0.25">
      <c r="A27" s="940"/>
      <c r="B27" s="34">
        <v>2017</v>
      </c>
      <c r="C27" s="52">
        <v>11</v>
      </c>
      <c r="D27" s="71">
        <f t="shared" si="4"/>
        <v>1.0909090909090908</v>
      </c>
      <c r="E27" s="72">
        <f t="shared" si="5"/>
        <v>1.0909090909090908</v>
      </c>
      <c r="F27" s="45">
        <v>10</v>
      </c>
      <c r="G27" s="71">
        <v>1.2896292315959161</v>
      </c>
      <c r="H27" s="72">
        <v>1.2896292315959161</v>
      </c>
      <c r="I27" s="56">
        <v>8.6</v>
      </c>
      <c r="J27" s="71">
        <v>1.2896292315959161</v>
      </c>
      <c r="K27" s="72">
        <v>1.2896292315959161</v>
      </c>
      <c r="L27" s="37"/>
      <c r="M27" s="37"/>
      <c r="N27" s="37"/>
      <c r="O27" s="52">
        <v>9</v>
      </c>
      <c r="P27" s="52">
        <v>3</v>
      </c>
      <c r="Q27" s="138">
        <v>1.3179571663920921</v>
      </c>
      <c r="R27" s="139">
        <v>1.3179571663920921</v>
      </c>
      <c r="S27" s="657">
        <v>2.81</v>
      </c>
      <c r="T27" s="45">
        <v>8.9</v>
      </c>
      <c r="U27" s="45">
        <v>3</v>
      </c>
      <c r="V27" s="138">
        <v>1.3179571663920921</v>
      </c>
      <c r="W27" s="139">
        <v>1.3179571663920921</v>
      </c>
      <c r="X27" s="657">
        <v>2.81</v>
      </c>
      <c r="Y27" s="56">
        <v>8.6</v>
      </c>
      <c r="Z27" s="56">
        <v>2.9</v>
      </c>
      <c r="AA27" s="71">
        <v>1.3179571663920921</v>
      </c>
      <c r="AB27" s="72">
        <v>1.3179571663920921</v>
      </c>
      <c r="AC27" s="104">
        <v>2.81</v>
      </c>
      <c r="AD27" s="33"/>
    </row>
    <row r="28" spans="1:30" ht="14.25" customHeight="1" x14ac:dyDescent="0.25">
      <c r="A28" s="940"/>
      <c r="B28" s="34">
        <v>2018</v>
      </c>
      <c r="C28" s="52">
        <v>11</v>
      </c>
      <c r="D28" s="71">
        <f t="shared" si="4"/>
        <v>1.0909090909090908</v>
      </c>
      <c r="E28" s="72">
        <f t="shared" si="5"/>
        <v>1.0909090909090908</v>
      </c>
      <c r="F28" s="45">
        <v>10</v>
      </c>
      <c r="G28" s="71">
        <v>1.2896292315959161</v>
      </c>
      <c r="H28" s="72">
        <v>1.2896292315959161</v>
      </c>
      <c r="I28" s="56">
        <v>8.6</v>
      </c>
      <c r="J28" s="71">
        <v>1.2896292315959161</v>
      </c>
      <c r="K28" s="72">
        <v>1.2896292315959161</v>
      </c>
      <c r="L28" s="37"/>
      <c r="M28" s="37"/>
      <c r="N28" s="37"/>
      <c r="O28" s="52">
        <v>9</v>
      </c>
      <c r="P28" s="52">
        <v>3</v>
      </c>
      <c r="Q28" s="138">
        <v>1.3179571663920921</v>
      </c>
      <c r="R28" s="139">
        <v>1.3179571663920921</v>
      </c>
      <c r="S28" s="657">
        <v>2.81</v>
      </c>
      <c r="T28" s="45">
        <v>8.9</v>
      </c>
      <c r="U28" s="45">
        <v>3</v>
      </c>
      <c r="V28" s="138">
        <v>1.3179571663920921</v>
      </c>
      <c r="W28" s="139">
        <v>1.3179571663920921</v>
      </c>
      <c r="X28" s="657">
        <v>2.81</v>
      </c>
      <c r="Y28" s="56">
        <v>8.6</v>
      </c>
      <c r="Z28" s="56">
        <v>2.9</v>
      </c>
      <c r="AA28" s="71">
        <v>1.3179571663920921</v>
      </c>
      <c r="AB28" s="72">
        <v>1.3179571663920921</v>
      </c>
      <c r="AC28" s="104">
        <v>2.81</v>
      </c>
      <c r="AD28" s="33"/>
    </row>
    <row r="29" spans="1:30" ht="14.25" customHeight="1" x14ac:dyDescent="0.25">
      <c r="A29" s="940"/>
      <c r="B29" s="34">
        <v>2019</v>
      </c>
      <c r="C29" s="52">
        <v>11</v>
      </c>
      <c r="D29" s="71">
        <f t="shared" si="4"/>
        <v>1.0909090909090908</v>
      </c>
      <c r="E29" s="72">
        <f t="shared" si="5"/>
        <v>1.0909090909090908</v>
      </c>
      <c r="F29" s="45">
        <v>10</v>
      </c>
      <c r="G29" s="71">
        <v>1.2896292315959161</v>
      </c>
      <c r="H29" s="72">
        <v>1.2896292315959161</v>
      </c>
      <c r="I29" s="56">
        <v>8.6</v>
      </c>
      <c r="J29" s="71">
        <v>1.2896292315959161</v>
      </c>
      <c r="K29" s="72">
        <v>1.2896292315959161</v>
      </c>
      <c r="L29" s="37"/>
      <c r="M29" s="37"/>
      <c r="N29" s="37"/>
      <c r="O29" s="52">
        <v>9</v>
      </c>
      <c r="P29" s="52">
        <v>3</v>
      </c>
      <c r="Q29" s="138">
        <v>1.3179571663920921</v>
      </c>
      <c r="R29" s="139">
        <v>1.3179571663920921</v>
      </c>
      <c r="S29" s="657">
        <v>2.81</v>
      </c>
      <c r="T29" s="45">
        <v>8.9</v>
      </c>
      <c r="U29" s="45">
        <v>3</v>
      </c>
      <c r="V29" s="138">
        <v>1.3179571663920921</v>
      </c>
      <c r="W29" s="139">
        <v>1.3179571663920921</v>
      </c>
      <c r="X29" s="657">
        <v>2.81</v>
      </c>
      <c r="Y29" s="56">
        <v>8.6</v>
      </c>
      <c r="Z29" s="56">
        <v>2.9</v>
      </c>
      <c r="AA29" s="71">
        <v>1.3179571663920921</v>
      </c>
      <c r="AB29" s="72">
        <v>1.3179571663920921</v>
      </c>
      <c r="AC29" s="104">
        <v>2.81</v>
      </c>
      <c r="AD29" s="33"/>
    </row>
    <row r="30" spans="1:30" ht="14.25" customHeight="1" x14ac:dyDescent="0.25">
      <c r="A30" s="940"/>
      <c r="B30" s="34">
        <v>2020</v>
      </c>
      <c r="C30" s="52">
        <v>11</v>
      </c>
      <c r="D30" s="71">
        <f t="shared" si="4"/>
        <v>1.0909090909090908</v>
      </c>
      <c r="E30" s="72">
        <f t="shared" si="5"/>
        <v>1.0909090909090908</v>
      </c>
      <c r="F30" s="45">
        <v>10</v>
      </c>
      <c r="G30" s="71">
        <v>1.2896292315959161</v>
      </c>
      <c r="H30" s="72">
        <v>1.2896292315959161</v>
      </c>
      <c r="I30" s="56">
        <v>8.6</v>
      </c>
      <c r="J30" s="71">
        <v>1.2896292315959161</v>
      </c>
      <c r="K30" s="72">
        <v>1.2896292315959161</v>
      </c>
      <c r="L30" s="37"/>
      <c r="M30" s="37"/>
      <c r="N30" s="37"/>
      <c r="O30" s="52">
        <v>9</v>
      </c>
      <c r="P30" s="52">
        <v>3</v>
      </c>
      <c r="Q30" s="138">
        <v>1.3179571663920921</v>
      </c>
      <c r="R30" s="139">
        <v>1.3179571663920921</v>
      </c>
      <c r="S30" s="657">
        <v>2.81</v>
      </c>
      <c r="T30" s="45">
        <v>8.9</v>
      </c>
      <c r="U30" s="45">
        <v>3</v>
      </c>
      <c r="V30" s="138">
        <v>1.3179571663920921</v>
      </c>
      <c r="W30" s="139">
        <v>1.3179571663920921</v>
      </c>
      <c r="X30" s="657">
        <v>2.81</v>
      </c>
      <c r="Y30" s="56">
        <v>8.6</v>
      </c>
      <c r="Z30" s="56">
        <v>2.9</v>
      </c>
      <c r="AA30" s="71">
        <v>1.3179571663920921</v>
      </c>
      <c r="AB30" s="72">
        <v>1.3179571663920921</v>
      </c>
      <c r="AC30" s="104">
        <v>2.81</v>
      </c>
      <c r="AD30" s="33"/>
    </row>
    <row r="31" spans="1:30" ht="14.25" customHeight="1" x14ac:dyDescent="0.25">
      <c r="A31" s="940"/>
      <c r="B31" s="34">
        <v>2021</v>
      </c>
      <c r="C31" s="52">
        <v>11</v>
      </c>
      <c r="D31" s="71">
        <f t="shared" si="4"/>
        <v>1.0909090909090908</v>
      </c>
      <c r="E31" s="72">
        <f t="shared" si="5"/>
        <v>1.0909090909090908</v>
      </c>
      <c r="F31" s="45">
        <v>10</v>
      </c>
      <c r="G31" s="71">
        <v>1.2896292315959161</v>
      </c>
      <c r="H31" s="72">
        <v>1.2896292315959161</v>
      </c>
      <c r="I31" s="56">
        <v>8.6</v>
      </c>
      <c r="J31" s="71">
        <v>1.2896292315959161</v>
      </c>
      <c r="K31" s="72">
        <v>1.2896292315959161</v>
      </c>
      <c r="L31" s="37"/>
      <c r="M31" s="37"/>
      <c r="N31" s="37"/>
      <c r="O31" s="52">
        <v>9</v>
      </c>
      <c r="P31" s="52">
        <v>3</v>
      </c>
      <c r="Q31" s="138">
        <v>1.3179571663920921</v>
      </c>
      <c r="R31" s="139">
        <v>1.3179571663920921</v>
      </c>
      <c r="S31" s="657">
        <v>2.81</v>
      </c>
      <c r="T31" s="45">
        <v>8.9</v>
      </c>
      <c r="U31" s="45">
        <v>3</v>
      </c>
      <c r="V31" s="138">
        <v>1.3179571663920921</v>
      </c>
      <c r="W31" s="139">
        <v>1.3179571663920921</v>
      </c>
      <c r="X31" s="657">
        <v>2.81</v>
      </c>
      <c r="Y31" s="56">
        <v>8.6</v>
      </c>
      <c r="Z31" s="56">
        <v>2.9</v>
      </c>
      <c r="AA31" s="71">
        <v>1.3179571663920921</v>
      </c>
      <c r="AB31" s="72">
        <v>1.3179571663920921</v>
      </c>
      <c r="AC31" s="104">
        <v>2.81</v>
      </c>
      <c r="AD31" s="33"/>
    </row>
    <row r="32" spans="1:30" ht="14.25" customHeight="1" x14ac:dyDescent="0.25">
      <c r="A32" s="940"/>
      <c r="B32" s="34">
        <v>2022</v>
      </c>
      <c r="C32" s="52">
        <v>11</v>
      </c>
      <c r="D32" s="71">
        <f t="shared" si="4"/>
        <v>1.0909090909090908</v>
      </c>
      <c r="E32" s="72">
        <f t="shared" si="5"/>
        <v>1.0909090909090908</v>
      </c>
      <c r="F32" s="45">
        <v>10</v>
      </c>
      <c r="G32" s="71">
        <v>1.2896292315959161</v>
      </c>
      <c r="H32" s="72">
        <v>1.2896292315959161</v>
      </c>
      <c r="I32" s="56">
        <v>8.6</v>
      </c>
      <c r="J32" s="71">
        <v>1.2896292315959161</v>
      </c>
      <c r="K32" s="72">
        <v>1.2896292315959161</v>
      </c>
      <c r="L32" s="37"/>
      <c r="M32" s="37"/>
      <c r="N32" s="37"/>
      <c r="O32" s="52">
        <v>9</v>
      </c>
      <c r="P32" s="52">
        <v>3</v>
      </c>
      <c r="Q32" s="138">
        <v>1.3179571663920921</v>
      </c>
      <c r="R32" s="139">
        <v>1.3179571663920921</v>
      </c>
      <c r="S32" s="657">
        <v>2.81</v>
      </c>
      <c r="T32" s="45">
        <v>8.9</v>
      </c>
      <c r="U32" s="45">
        <v>3</v>
      </c>
      <c r="V32" s="138">
        <v>1.3179571663920921</v>
      </c>
      <c r="W32" s="139">
        <v>1.3179571663920921</v>
      </c>
      <c r="X32" s="657">
        <v>2.81</v>
      </c>
      <c r="Y32" s="56">
        <v>8.6</v>
      </c>
      <c r="Z32" s="56">
        <v>2.9</v>
      </c>
      <c r="AA32" s="71">
        <v>1.3179571663920921</v>
      </c>
      <c r="AB32" s="72">
        <v>1.3179571663920921</v>
      </c>
      <c r="AC32" s="104">
        <v>2.81</v>
      </c>
      <c r="AD32" s="33"/>
    </row>
    <row r="33" spans="1:30" ht="14.25" customHeight="1" x14ac:dyDescent="0.25">
      <c r="A33" s="940"/>
      <c r="B33" s="34">
        <v>2023</v>
      </c>
      <c r="C33" s="52">
        <v>11</v>
      </c>
      <c r="D33" s="71">
        <f t="shared" si="4"/>
        <v>1.0909090909090908</v>
      </c>
      <c r="E33" s="72">
        <f t="shared" si="5"/>
        <v>1.0909090909090908</v>
      </c>
      <c r="F33" s="45">
        <v>10</v>
      </c>
      <c r="G33" s="71">
        <v>1.2896292315959161</v>
      </c>
      <c r="H33" s="72">
        <v>1.2896292315959161</v>
      </c>
      <c r="I33" s="56">
        <v>8.6</v>
      </c>
      <c r="J33" s="71">
        <v>1.2896292315959161</v>
      </c>
      <c r="K33" s="72">
        <v>1.2896292315959161</v>
      </c>
      <c r="L33" s="37"/>
      <c r="M33" s="37"/>
      <c r="N33" s="37"/>
      <c r="O33" s="52">
        <v>9</v>
      </c>
      <c r="P33" s="52">
        <v>3</v>
      </c>
      <c r="Q33" s="138">
        <v>1.3179571663920921</v>
      </c>
      <c r="R33" s="139">
        <v>1.3179571663920921</v>
      </c>
      <c r="S33" s="657">
        <v>2.81</v>
      </c>
      <c r="T33" s="45">
        <v>8.9</v>
      </c>
      <c r="U33" s="45">
        <v>3</v>
      </c>
      <c r="V33" s="138">
        <v>1.3179571663920921</v>
      </c>
      <c r="W33" s="139">
        <v>1.3179571663920921</v>
      </c>
      <c r="X33" s="657">
        <v>2.81</v>
      </c>
      <c r="Y33" s="56">
        <v>8.6</v>
      </c>
      <c r="Z33" s="56">
        <v>2.9</v>
      </c>
      <c r="AA33" s="71">
        <v>1.3179571663920921</v>
      </c>
      <c r="AB33" s="72">
        <v>1.3179571663920921</v>
      </c>
      <c r="AC33" s="104">
        <v>2.81</v>
      </c>
      <c r="AD33" s="33"/>
    </row>
    <row r="34" spans="1:30" ht="14.25" customHeight="1" x14ac:dyDescent="0.25">
      <c r="A34" s="940"/>
      <c r="B34" s="34">
        <v>2024</v>
      </c>
      <c r="C34" s="52">
        <v>11</v>
      </c>
      <c r="D34" s="71">
        <f t="shared" si="4"/>
        <v>1.0909090909090908</v>
      </c>
      <c r="E34" s="72">
        <f t="shared" si="5"/>
        <v>1.0909090909090908</v>
      </c>
      <c r="F34" s="45">
        <v>10</v>
      </c>
      <c r="G34" s="71">
        <v>1.2896292315959161</v>
      </c>
      <c r="H34" s="72">
        <v>1.2896292315959161</v>
      </c>
      <c r="I34" s="56">
        <v>8.6</v>
      </c>
      <c r="J34" s="71">
        <v>1.2896292315959161</v>
      </c>
      <c r="K34" s="72">
        <v>1.2896292315959161</v>
      </c>
      <c r="L34" s="37"/>
      <c r="M34" s="37"/>
      <c r="N34" s="37"/>
      <c r="O34" s="52">
        <v>9</v>
      </c>
      <c r="P34" s="52">
        <v>3</v>
      </c>
      <c r="Q34" s="138">
        <v>1.3179571663920921</v>
      </c>
      <c r="R34" s="139">
        <v>1.3179571663920921</v>
      </c>
      <c r="S34" s="657">
        <v>2.81</v>
      </c>
      <c r="T34" s="45">
        <v>8.9</v>
      </c>
      <c r="U34" s="45">
        <v>3</v>
      </c>
      <c r="V34" s="138">
        <v>1.3179571663920921</v>
      </c>
      <c r="W34" s="139">
        <v>1.3179571663920921</v>
      </c>
      <c r="X34" s="657">
        <v>2.81</v>
      </c>
      <c r="Y34" s="56">
        <v>8.6</v>
      </c>
      <c r="Z34" s="56">
        <v>2.9</v>
      </c>
      <c r="AA34" s="71">
        <v>1.3179571663920921</v>
      </c>
      <c r="AB34" s="72">
        <v>1.3179571663920921</v>
      </c>
      <c r="AC34" s="104">
        <v>2.81</v>
      </c>
      <c r="AD34" s="33"/>
    </row>
    <row r="35" spans="1:30" ht="14.25" customHeight="1" x14ac:dyDescent="0.25">
      <c r="A35" s="941"/>
      <c r="B35" s="34">
        <v>2025</v>
      </c>
      <c r="C35" s="52">
        <v>11</v>
      </c>
      <c r="D35" s="71">
        <f t="shared" si="4"/>
        <v>1.0909090909090908</v>
      </c>
      <c r="E35" s="72">
        <f t="shared" si="5"/>
        <v>1.0909090909090908</v>
      </c>
      <c r="F35" s="45">
        <v>10</v>
      </c>
      <c r="G35" s="71">
        <v>1.2896292315959161</v>
      </c>
      <c r="H35" s="72">
        <v>1.2896292315959161</v>
      </c>
      <c r="I35" s="56">
        <v>8.6</v>
      </c>
      <c r="J35" s="71">
        <v>1.2896292315959161</v>
      </c>
      <c r="K35" s="72">
        <v>1.2896292315959161</v>
      </c>
      <c r="L35" s="37"/>
      <c r="M35" s="37"/>
      <c r="N35" s="37"/>
      <c r="O35" s="52">
        <v>9</v>
      </c>
      <c r="P35" s="52">
        <v>3</v>
      </c>
      <c r="Q35" s="138">
        <v>1.3179571663920921</v>
      </c>
      <c r="R35" s="139">
        <v>1.3179571663920921</v>
      </c>
      <c r="S35" s="657">
        <v>2.81</v>
      </c>
      <c r="T35" s="45">
        <v>8.9</v>
      </c>
      <c r="U35" s="45">
        <v>3</v>
      </c>
      <c r="V35" s="138">
        <v>1.3179571663920921</v>
      </c>
      <c r="W35" s="139">
        <v>1.3179571663920921</v>
      </c>
      <c r="X35" s="657">
        <v>2.81</v>
      </c>
      <c r="Y35" s="56">
        <v>8.6</v>
      </c>
      <c r="Z35" s="56">
        <v>2.9</v>
      </c>
      <c r="AA35" s="71">
        <v>1.3179571663920921</v>
      </c>
      <c r="AB35" s="72">
        <v>1.3179571663920921</v>
      </c>
      <c r="AC35" s="104">
        <v>2.81</v>
      </c>
      <c r="AD35" s="33"/>
    </row>
    <row r="36" spans="1:30" ht="14.25" customHeight="1" x14ac:dyDescent="0.25">
      <c r="A36" s="415"/>
      <c r="B36" s="416" t="str">
        <v>ARTRM9.2</v>
      </c>
      <c r="C36" s="52">
        <v>9</v>
      </c>
      <c r="D36" s="71">
        <f t="shared" ref="D36" si="6">12/C36</f>
        <v>1.3333333333333333</v>
      </c>
      <c r="E36" s="72">
        <f t="shared" si="5"/>
        <v>1.3333333333333333</v>
      </c>
      <c r="F36" s="45">
        <v>10</v>
      </c>
      <c r="G36" s="71">
        <f t="shared" ref="G36" si="7">12/F36</f>
        <v>1.2</v>
      </c>
      <c r="H36" s="72">
        <f t="shared" ref="H36" si="8">12/F36</f>
        <v>1.2</v>
      </c>
      <c r="I36" s="56">
        <v>8.6</v>
      </c>
      <c r="J36" s="71">
        <f t="shared" ref="J36" si="9">12/I36</f>
        <v>1.3953488372093024</v>
      </c>
      <c r="K36" s="72">
        <f t="shared" ref="K36" si="10">12/I36</f>
        <v>1.3953488372093024</v>
      </c>
      <c r="L36" s="37"/>
      <c r="M36" s="37"/>
      <c r="N36" s="37"/>
      <c r="O36" s="52">
        <v>9</v>
      </c>
      <c r="P36" s="52">
        <v>3</v>
      </c>
      <c r="Q36" s="138">
        <f t="shared" ref="Q36" si="11">12/O36</f>
        <v>1.3333333333333333</v>
      </c>
      <c r="R36" s="139">
        <f t="shared" ref="R36" si="12">12/O36</f>
        <v>1.3333333333333333</v>
      </c>
      <c r="S36" s="657">
        <f t="shared" ref="S36" si="13">12/3.412/P36</f>
        <v>1.1723329425556859</v>
      </c>
      <c r="T36" s="45">
        <v>8.9</v>
      </c>
      <c r="U36" s="45">
        <v>3</v>
      </c>
      <c r="V36" s="138">
        <f t="shared" ref="V36" si="14">12/T36</f>
        <v>1.348314606741573</v>
      </c>
      <c r="W36" s="139">
        <f t="shared" ref="W36" si="15">12/T36</f>
        <v>1.348314606741573</v>
      </c>
      <c r="X36" s="657">
        <f t="shared" ref="X36" si="16">12/3.412/U36</f>
        <v>1.1723329425556859</v>
      </c>
      <c r="Y36" s="56">
        <v>8.6</v>
      </c>
      <c r="Z36" s="56">
        <v>2.9</v>
      </c>
      <c r="AA36" s="71">
        <f t="shared" ref="AA36" si="17">12/Y36</f>
        <v>1.3953488372093024</v>
      </c>
      <c r="AB36" s="72">
        <f t="shared" ref="AB36" si="18">12/Y36</f>
        <v>1.3953488372093024</v>
      </c>
      <c r="AC36" s="104">
        <f t="shared" ref="AC36" si="19">12/3.412/Z36</f>
        <v>1.2127582164369164</v>
      </c>
      <c r="AD36" s="33" t="s">
        <v>16</v>
      </c>
    </row>
    <row r="37" spans="1:30" ht="14.25" customHeight="1" thickBot="1" x14ac:dyDescent="0.3">
      <c r="A37" s="241"/>
      <c r="B37" s="242" t="str">
        <v>CPS</v>
      </c>
      <c r="C37" s="53">
        <v>11</v>
      </c>
      <c r="D37" s="71">
        <f>12/C37</f>
        <v>1.0909090909090908</v>
      </c>
      <c r="E37" s="72">
        <f t="shared" si="5"/>
        <v>1.0909090909090908</v>
      </c>
      <c r="F37" s="54">
        <v>10</v>
      </c>
      <c r="G37" s="71">
        <v>1.2896292315959161</v>
      </c>
      <c r="H37" s="72">
        <v>1.2896292315959161</v>
      </c>
      <c r="I37" s="57">
        <v>8.6</v>
      </c>
      <c r="J37" s="71">
        <v>1.29</v>
      </c>
      <c r="K37" s="72">
        <v>1.29</v>
      </c>
      <c r="L37" s="37"/>
      <c r="M37" s="37"/>
      <c r="N37" s="37"/>
      <c r="O37" s="53">
        <v>9</v>
      </c>
      <c r="P37" s="53">
        <v>3</v>
      </c>
      <c r="Q37" s="138">
        <v>1.3179571663920921</v>
      </c>
      <c r="R37" s="139">
        <v>1.3179571663920921</v>
      </c>
      <c r="S37" s="657">
        <v>2.81</v>
      </c>
      <c r="T37" s="54">
        <v>8.9</v>
      </c>
      <c r="U37" s="54">
        <v>3</v>
      </c>
      <c r="V37" s="138">
        <v>1.3179571663920921</v>
      </c>
      <c r="W37" s="139">
        <v>1.3179571663920921</v>
      </c>
      <c r="X37" s="657">
        <v>2.81</v>
      </c>
      <c r="Y37" s="57">
        <v>8.6</v>
      </c>
      <c r="Z37" s="57">
        <v>2.9</v>
      </c>
      <c r="AA37" s="71">
        <v>1.3179571663920921</v>
      </c>
      <c r="AB37" s="72">
        <v>1.3179571663920921</v>
      </c>
      <c r="AC37" s="104">
        <v>2.81</v>
      </c>
      <c r="AD37" s="40" t="s">
        <v>15</v>
      </c>
    </row>
    <row r="38" spans="1:30" x14ac:dyDescent="0.25">
      <c r="A38" s="36"/>
      <c r="B38" s="36"/>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6"/>
    </row>
    <row r="39" spans="1:30" x14ac:dyDescent="0.25">
      <c r="A39" s="47" t="s">
        <v>31</v>
      </c>
      <c r="B39" s="36"/>
      <c r="C39" s="37"/>
      <c r="D39" s="37"/>
      <c r="E39" s="37"/>
      <c r="F39" s="37"/>
      <c r="G39" s="37"/>
      <c r="H39" s="37"/>
      <c r="I39" s="37"/>
      <c r="J39" s="37"/>
      <c r="K39" s="37"/>
      <c r="L39" s="37"/>
      <c r="M39" s="37"/>
      <c r="N39" s="37"/>
      <c r="O39" s="37"/>
      <c r="P39" s="37"/>
      <c r="Q39" s="37"/>
      <c r="R39" s="37"/>
      <c r="S39" s="37"/>
      <c r="T39" s="37"/>
      <c r="U39" s="37"/>
      <c r="V39" s="37"/>
      <c r="W39" s="37"/>
      <c r="X39" s="37"/>
      <c r="Y39" s="37"/>
      <c r="Z39" s="37"/>
      <c r="AA39" s="37"/>
      <c r="AB39" s="37"/>
      <c r="AC39" s="37"/>
      <c r="AD39" s="36"/>
    </row>
    <row r="40" spans="1:30" x14ac:dyDescent="0.25">
      <c r="A40" s="47" t="s">
        <v>32</v>
      </c>
      <c r="B40" s="36"/>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6"/>
    </row>
    <row r="41" spans="1:30" x14ac:dyDescent="0.25">
      <c r="A41" s="36"/>
      <c r="B41" s="36"/>
      <c r="C41" s="37"/>
      <c r="D41" s="37"/>
      <c r="E41" s="37"/>
      <c r="F41" s="37"/>
      <c r="G41" s="37"/>
      <c r="H41" s="37"/>
      <c r="I41" s="37"/>
      <c r="J41" s="37"/>
      <c r="K41" s="37"/>
      <c r="L41" s="37"/>
      <c r="M41" s="37"/>
      <c r="N41" s="37"/>
      <c r="O41" s="37"/>
      <c r="P41" s="37"/>
      <c r="Q41" s="37"/>
      <c r="R41" s="37"/>
      <c r="S41" s="37"/>
      <c r="T41" s="37"/>
      <c r="U41" s="37"/>
      <c r="V41" s="37"/>
      <c r="W41" s="37"/>
      <c r="X41" s="37"/>
      <c r="Y41" s="37"/>
      <c r="Z41" s="37"/>
      <c r="AA41" s="37"/>
      <c r="AB41" s="37"/>
      <c r="AC41" s="37"/>
      <c r="AD41" s="36"/>
    </row>
    <row r="42" spans="1:30" x14ac:dyDescent="0.25">
      <c r="A42" s="36"/>
      <c r="B42" s="36"/>
      <c r="C42" s="37"/>
      <c r="D42" s="37"/>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6"/>
    </row>
    <row r="43" spans="1:30" x14ac:dyDescent="0.25">
      <c r="A43" s="36"/>
      <c r="B43" s="36"/>
      <c r="C43" s="37"/>
      <c r="D43" s="37"/>
      <c r="E43" s="37"/>
      <c r="F43" s="37"/>
      <c r="G43" s="37"/>
      <c r="H43" s="37"/>
      <c r="I43" s="37"/>
      <c r="J43" s="37"/>
      <c r="K43" s="37"/>
      <c r="L43" s="37"/>
      <c r="M43" s="37"/>
      <c r="N43" s="37"/>
      <c r="O43" s="37"/>
      <c r="P43" s="37"/>
      <c r="Q43" s="37"/>
      <c r="R43" s="37"/>
      <c r="S43" s="37"/>
      <c r="T43" s="37"/>
      <c r="U43" s="37"/>
      <c r="V43" s="37"/>
      <c r="W43" s="37"/>
      <c r="X43" s="37"/>
      <c r="Y43" s="37"/>
      <c r="Z43" s="37"/>
      <c r="AA43" s="37"/>
      <c r="AB43" s="37"/>
      <c r="AC43" s="37"/>
      <c r="AD43" s="36"/>
    </row>
  </sheetData>
  <mergeCells count="20">
    <mergeCell ref="AD4:AD6"/>
    <mergeCell ref="C4:I4"/>
    <mergeCell ref="O4:Y4"/>
    <mergeCell ref="A4:B6"/>
    <mergeCell ref="D5:E5"/>
    <mergeCell ref="G5:H5"/>
    <mergeCell ref="J5:K5"/>
    <mergeCell ref="Q5:R5"/>
    <mergeCell ref="V5:W5"/>
    <mergeCell ref="AA5:AB5"/>
    <mergeCell ref="O5:P5"/>
    <mergeCell ref="T5:U5"/>
    <mergeCell ref="Y5:Z5"/>
    <mergeCell ref="A7:A35"/>
    <mergeCell ref="C3:E3"/>
    <mergeCell ref="F3:H3"/>
    <mergeCell ref="I3:K3"/>
    <mergeCell ref="Y3:AB3"/>
    <mergeCell ref="T3:W3"/>
    <mergeCell ref="O3:R3"/>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0"/>
  <dimension ref="A1:FE56"/>
  <sheetViews>
    <sheetView topLeftCell="DW1" zoomScale="80" zoomScaleNormal="80" workbookViewId="0">
      <selection activeCell="EI45" sqref="EI45"/>
    </sheetView>
  </sheetViews>
  <sheetFormatPr defaultRowHeight="15" x14ac:dyDescent="0.25"/>
  <cols>
    <col min="1" max="1" width="13.5703125" customWidth="1"/>
    <col min="82" max="82" width="25.7109375" customWidth="1"/>
    <col min="88" max="88" width="9.140625" customWidth="1"/>
    <col min="161" max="161" width="25" customWidth="1"/>
  </cols>
  <sheetData>
    <row r="1" spans="1:161" x14ac:dyDescent="0.25">
      <c r="A1" s="1"/>
      <c r="B1" s="1" t="s">
        <v>1167</v>
      </c>
      <c r="C1" s="1"/>
      <c r="D1" s="1"/>
      <c r="E1" s="1"/>
      <c r="F1" s="1" t="s">
        <v>1167</v>
      </c>
      <c r="G1" s="1"/>
      <c r="H1" s="1"/>
      <c r="I1" s="1"/>
      <c r="J1" s="1" t="s">
        <v>1167</v>
      </c>
      <c r="K1" s="1"/>
      <c r="L1" s="1"/>
      <c r="M1" s="1"/>
      <c r="N1" s="1" t="s">
        <v>1167</v>
      </c>
      <c r="O1" s="1"/>
      <c r="P1" s="1"/>
      <c r="Q1" s="1"/>
      <c r="R1" s="1" t="s">
        <v>1167</v>
      </c>
      <c r="S1" s="1"/>
      <c r="T1" s="1"/>
      <c r="U1" s="1"/>
      <c r="V1" s="1" t="s">
        <v>1167</v>
      </c>
      <c r="W1" s="1"/>
      <c r="X1" s="1"/>
      <c r="Y1" s="1"/>
      <c r="Z1" s="1" t="s">
        <v>1167</v>
      </c>
      <c r="AA1" s="1"/>
      <c r="AB1" s="1"/>
      <c r="AC1" s="1"/>
      <c r="AD1" s="1" t="s">
        <v>1167</v>
      </c>
      <c r="AE1" s="1"/>
      <c r="AF1" s="1"/>
      <c r="AG1" s="1"/>
      <c r="AH1" s="1" t="s">
        <v>1167</v>
      </c>
      <c r="AI1" s="1"/>
      <c r="AJ1" s="1"/>
      <c r="AK1" s="1"/>
      <c r="AL1" s="1" t="s">
        <v>1167</v>
      </c>
      <c r="AM1" s="1"/>
      <c r="AN1" s="1"/>
      <c r="AO1" s="1"/>
      <c r="AP1" s="453" t="s">
        <v>1167</v>
      </c>
      <c r="AQ1" s="1"/>
      <c r="AR1" s="1"/>
      <c r="AS1" s="1"/>
      <c r="AT1" s="1" t="s">
        <v>1167</v>
      </c>
      <c r="AU1" s="1"/>
      <c r="AV1" s="1"/>
      <c r="AW1" s="1"/>
      <c r="AX1" s="1" t="s">
        <v>1167</v>
      </c>
      <c r="AY1" s="1"/>
      <c r="AZ1" s="1"/>
      <c r="BA1" s="1"/>
      <c r="BB1" s="1" t="s">
        <v>1167</v>
      </c>
      <c r="BC1" s="1"/>
      <c r="BD1" s="1"/>
      <c r="BE1" s="1"/>
      <c r="BF1" s="1" t="s">
        <v>1167</v>
      </c>
      <c r="BG1" s="1"/>
      <c r="BH1" s="1"/>
      <c r="BI1" s="1"/>
      <c r="BJ1" s="1" t="s">
        <v>1167</v>
      </c>
      <c r="BK1" s="1"/>
      <c r="BL1" s="1"/>
      <c r="BM1" s="1"/>
      <c r="BN1" s="1" t="s">
        <v>1167</v>
      </c>
      <c r="BO1" s="1"/>
      <c r="BP1" s="1"/>
      <c r="BQ1" s="1"/>
      <c r="BR1" s="1" t="s">
        <v>1167</v>
      </c>
      <c r="BS1" s="1"/>
      <c r="BT1" s="1"/>
      <c r="BU1" s="1"/>
      <c r="BV1" s="1" t="s">
        <v>1167</v>
      </c>
      <c r="BW1" s="1"/>
      <c r="BX1" s="1"/>
      <c r="BY1" s="1"/>
      <c r="BZ1" s="1" t="s">
        <v>1167</v>
      </c>
      <c r="CA1" s="1"/>
      <c r="CB1" s="1"/>
      <c r="CC1" s="1"/>
      <c r="CD1" s="1"/>
      <c r="CE1" s="453" t="s">
        <v>1169</v>
      </c>
      <c r="CF1" s="1"/>
      <c r="CG1" s="1"/>
      <c r="CH1" s="1"/>
      <c r="CI1" s="1"/>
      <c r="CJ1" s="1"/>
      <c r="CK1" s="1" t="s">
        <v>1169</v>
      </c>
      <c r="CL1" s="1"/>
      <c r="CM1" s="1"/>
      <c r="CN1" s="1"/>
      <c r="CO1" s="1"/>
      <c r="CP1" s="1"/>
      <c r="CQ1" s="1" t="s">
        <v>1169</v>
      </c>
      <c r="CR1" s="1"/>
      <c r="CS1" s="1"/>
      <c r="CT1" s="1"/>
      <c r="CU1" s="1"/>
      <c r="CV1" s="1"/>
      <c r="CW1" s="1" t="s">
        <v>1169</v>
      </c>
      <c r="CX1" s="1"/>
      <c r="CY1" s="1"/>
      <c r="CZ1" s="1"/>
      <c r="DA1" s="1"/>
      <c r="DB1" s="1"/>
      <c r="DC1" s="1" t="s">
        <v>1169</v>
      </c>
      <c r="DD1" s="1"/>
      <c r="DE1" s="1"/>
      <c r="DF1" s="1"/>
      <c r="DG1" s="1"/>
      <c r="DH1" s="1"/>
      <c r="DI1" s="1" t="s">
        <v>1169</v>
      </c>
      <c r="DJ1" s="1"/>
      <c r="DK1" s="1"/>
      <c r="DL1" s="1"/>
      <c r="DM1" s="1"/>
      <c r="DN1" s="1"/>
      <c r="DO1" s="1" t="s">
        <v>1169</v>
      </c>
      <c r="DP1" s="1"/>
      <c r="DQ1" s="1"/>
      <c r="DR1" s="1"/>
      <c r="DS1" s="1"/>
      <c r="DT1" s="1"/>
      <c r="DU1" s="1" t="s">
        <v>1169</v>
      </c>
      <c r="DV1" s="1"/>
      <c r="DW1" s="1"/>
      <c r="DX1" s="1"/>
      <c r="DY1" s="1"/>
      <c r="DZ1" s="1"/>
      <c r="EA1" s="1" t="s">
        <v>1169</v>
      </c>
      <c r="EB1" s="1"/>
      <c r="EC1" s="1"/>
      <c r="ED1" s="1"/>
      <c r="EE1" s="1"/>
      <c r="EF1" s="1"/>
      <c r="EG1" s="1" t="s">
        <v>1169</v>
      </c>
      <c r="EH1" s="1"/>
      <c r="EI1" s="1"/>
      <c r="EJ1" s="1"/>
      <c r="EK1" s="1"/>
      <c r="EL1" s="1"/>
      <c r="EM1" s="1" t="s">
        <v>1169</v>
      </c>
      <c r="EN1" s="1"/>
      <c r="EO1" s="1"/>
      <c r="EP1" s="1"/>
      <c r="EQ1" s="1"/>
      <c r="ER1" s="1"/>
      <c r="ES1" s="1" t="s">
        <v>1169</v>
      </c>
      <c r="ET1" s="1"/>
      <c r="EU1" s="1"/>
      <c r="EV1" s="1"/>
      <c r="EW1" s="1"/>
      <c r="EX1" s="1"/>
      <c r="EY1" s="1" t="s">
        <v>1169</v>
      </c>
      <c r="EZ1" s="1"/>
      <c r="FA1" s="1"/>
      <c r="FB1" s="1"/>
      <c r="FC1" s="1"/>
      <c r="FD1" s="1"/>
      <c r="FE1" s="1"/>
    </row>
    <row r="2" spans="1:161" x14ac:dyDescent="0.25">
      <c r="A2" s="1"/>
      <c r="B2" s="1" t="s">
        <v>1166</v>
      </c>
      <c r="C2" s="1"/>
      <c r="D2" s="1"/>
      <c r="E2" s="1"/>
      <c r="F2" s="1" t="s">
        <v>1166</v>
      </c>
      <c r="G2" s="1"/>
      <c r="H2" s="1"/>
      <c r="I2" s="1"/>
      <c r="J2" s="1" t="s">
        <v>1166</v>
      </c>
      <c r="K2" s="1"/>
      <c r="L2" s="1"/>
      <c r="M2" s="1"/>
      <c r="N2" s="1" t="s">
        <v>1166</v>
      </c>
      <c r="O2" s="1"/>
      <c r="P2" s="1"/>
      <c r="Q2" s="1"/>
      <c r="R2" s="1" t="s">
        <v>1166</v>
      </c>
      <c r="S2" s="1"/>
      <c r="T2" s="1"/>
      <c r="U2" s="1"/>
      <c r="V2" s="1" t="s">
        <v>1166</v>
      </c>
      <c r="W2" s="1"/>
      <c r="X2" s="1"/>
      <c r="Y2" s="1"/>
      <c r="Z2" s="1" t="s">
        <v>1166</v>
      </c>
      <c r="AA2" s="1"/>
      <c r="AB2" s="1"/>
      <c r="AC2" s="1"/>
      <c r="AD2" s="1" t="s">
        <v>1166</v>
      </c>
      <c r="AE2" s="1"/>
      <c r="AF2" s="1"/>
      <c r="AG2" s="1"/>
      <c r="AH2" s="1" t="s">
        <v>1166</v>
      </c>
      <c r="AI2" s="1"/>
      <c r="AJ2" s="1"/>
      <c r="AK2" s="1"/>
      <c r="AL2" s="1" t="s">
        <v>1166</v>
      </c>
      <c r="AM2" s="1"/>
      <c r="AN2" s="1"/>
      <c r="AO2" s="1"/>
      <c r="AP2" s="453" t="s">
        <v>1168</v>
      </c>
      <c r="AQ2" s="1"/>
      <c r="AR2" s="1"/>
      <c r="AS2" s="1"/>
      <c r="AT2" s="1" t="s">
        <v>1168</v>
      </c>
      <c r="AU2" s="1"/>
      <c r="AV2" s="1"/>
      <c r="AW2" s="1"/>
      <c r="AX2" s="1" t="s">
        <v>1168</v>
      </c>
      <c r="AY2" s="1"/>
      <c r="AZ2" s="1"/>
      <c r="BA2" s="1"/>
      <c r="BB2" s="1" t="s">
        <v>1168</v>
      </c>
      <c r="BC2" s="1"/>
      <c r="BD2" s="1"/>
      <c r="BE2" s="1"/>
      <c r="BF2" s="1" t="s">
        <v>1168</v>
      </c>
      <c r="BG2" s="1"/>
      <c r="BH2" s="1"/>
      <c r="BI2" s="1"/>
      <c r="BJ2" s="1" t="s">
        <v>1168</v>
      </c>
      <c r="BK2" s="1"/>
      <c r="BL2" s="1"/>
      <c r="BM2" s="1"/>
      <c r="BN2" s="1" t="s">
        <v>1168</v>
      </c>
      <c r="BO2" s="1"/>
      <c r="BP2" s="1"/>
      <c r="BQ2" s="1"/>
      <c r="BR2" s="1" t="s">
        <v>1168</v>
      </c>
      <c r="BS2" s="1"/>
      <c r="BT2" s="1"/>
      <c r="BU2" s="1"/>
      <c r="BV2" s="1" t="s">
        <v>1168</v>
      </c>
      <c r="BW2" s="1"/>
      <c r="BX2" s="1"/>
      <c r="BY2" s="1"/>
      <c r="BZ2" s="1" t="s">
        <v>1168</v>
      </c>
      <c r="CA2" s="1"/>
      <c r="CB2" s="1"/>
      <c r="CC2" s="1"/>
      <c r="CD2" s="1"/>
      <c r="CE2" s="453" t="s">
        <v>1170</v>
      </c>
      <c r="CF2" s="1"/>
      <c r="CG2" s="1"/>
      <c r="CH2" s="1"/>
      <c r="CI2" s="1"/>
      <c r="CJ2" s="1"/>
      <c r="CK2" s="1" t="s">
        <v>1170</v>
      </c>
      <c r="CL2" s="1"/>
      <c r="CM2" s="1"/>
      <c r="CN2" s="1"/>
      <c r="CO2" s="1"/>
      <c r="CP2" s="1"/>
      <c r="CQ2" s="1" t="s">
        <v>1170</v>
      </c>
      <c r="CR2" s="1"/>
      <c r="CS2" s="1"/>
      <c r="CT2" s="1"/>
      <c r="CU2" s="1"/>
      <c r="CV2" s="1"/>
      <c r="CW2" s="1" t="s">
        <v>1171</v>
      </c>
      <c r="CX2" s="1"/>
      <c r="CY2" s="1"/>
      <c r="CZ2" s="1"/>
      <c r="DA2" s="1"/>
      <c r="DB2" s="1"/>
      <c r="DC2" s="1" t="s">
        <v>1171</v>
      </c>
      <c r="DD2" s="1"/>
      <c r="DE2" s="1"/>
      <c r="DF2" s="1"/>
      <c r="DG2" s="1"/>
      <c r="DH2" s="1"/>
      <c r="DI2" s="1" t="s">
        <v>1172</v>
      </c>
      <c r="DJ2" s="1"/>
      <c r="DK2" s="1"/>
      <c r="DL2" s="1"/>
      <c r="DM2" s="1"/>
      <c r="DN2" s="1"/>
      <c r="DO2" s="1" t="s">
        <v>1172</v>
      </c>
      <c r="DP2" s="1"/>
      <c r="DQ2" s="1"/>
      <c r="DR2" s="1"/>
      <c r="DS2" s="1"/>
      <c r="DT2" s="1"/>
      <c r="DU2" s="1" t="s">
        <v>1173</v>
      </c>
      <c r="DV2" s="1"/>
      <c r="DW2" s="1"/>
      <c r="DX2" s="1"/>
      <c r="DY2" s="1"/>
      <c r="DZ2" s="1"/>
      <c r="EA2" s="1" t="s">
        <v>1173</v>
      </c>
      <c r="EB2" s="1"/>
      <c r="EC2" s="1"/>
      <c r="ED2" s="1"/>
      <c r="EE2" s="1"/>
      <c r="EF2" s="1"/>
      <c r="EG2" s="1" t="s">
        <v>1174</v>
      </c>
      <c r="EH2" s="1"/>
      <c r="EI2" s="1"/>
      <c r="EJ2" s="1"/>
      <c r="EK2" s="1"/>
      <c r="EL2" s="1"/>
      <c r="EM2" s="1" t="s">
        <v>1174</v>
      </c>
      <c r="EN2" s="1"/>
      <c r="EO2" s="1"/>
      <c r="EP2" s="1"/>
      <c r="EQ2" s="1"/>
      <c r="ER2" s="1"/>
      <c r="ES2" s="1" t="s">
        <v>1175</v>
      </c>
      <c r="ET2" s="1"/>
      <c r="EU2" s="1"/>
      <c r="EV2" s="1"/>
      <c r="EW2" s="1"/>
      <c r="EX2" s="1"/>
      <c r="EY2" s="1" t="s">
        <v>1175</v>
      </c>
      <c r="EZ2" s="1"/>
      <c r="FA2" s="1"/>
      <c r="FB2" s="1"/>
      <c r="FC2" s="1"/>
      <c r="FD2" s="1"/>
      <c r="FE2" s="1"/>
    </row>
    <row r="3" spans="1:161" ht="15" customHeight="1" x14ac:dyDescent="0.35">
      <c r="A3" s="28"/>
      <c r="B3" s="1" t="s">
        <v>367</v>
      </c>
      <c r="C3" s="1"/>
      <c r="D3" s="1"/>
      <c r="E3" s="1"/>
      <c r="F3" s="1" t="s">
        <v>324</v>
      </c>
      <c r="G3" s="1"/>
      <c r="H3" s="1"/>
      <c r="I3" s="1"/>
      <c r="J3" s="1" t="s">
        <v>367</v>
      </c>
      <c r="K3" s="1"/>
      <c r="L3" s="1"/>
      <c r="M3" s="1"/>
      <c r="N3" s="1" t="s">
        <v>324</v>
      </c>
      <c r="O3" s="1"/>
      <c r="P3" s="1"/>
      <c r="Q3" s="1"/>
      <c r="R3" s="1" t="s">
        <v>367</v>
      </c>
      <c r="S3" s="1"/>
      <c r="T3" s="1"/>
      <c r="U3" s="1"/>
      <c r="V3" s="1" t="s">
        <v>324</v>
      </c>
      <c r="W3" s="1"/>
      <c r="X3" s="1"/>
      <c r="Y3" s="1"/>
      <c r="Z3" s="1" t="s">
        <v>367</v>
      </c>
      <c r="AA3" s="1"/>
      <c r="AB3" s="1"/>
      <c r="AC3" s="1"/>
      <c r="AD3" s="1" t="s">
        <v>324</v>
      </c>
      <c r="AE3" s="1"/>
      <c r="AF3" s="1"/>
      <c r="AG3" s="1"/>
      <c r="AH3" s="1" t="s">
        <v>367</v>
      </c>
      <c r="AI3" s="1"/>
      <c r="AJ3" s="1"/>
      <c r="AK3" s="1"/>
      <c r="AL3" s="1" t="s">
        <v>324</v>
      </c>
      <c r="AM3" s="1"/>
      <c r="AN3" s="1"/>
      <c r="AO3" s="1"/>
      <c r="AP3" s="453" t="s">
        <v>367</v>
      </c>
      <c r="AQ3" s="1"/>
      <c r="AR3" s="1"/>
      <c r="AS3" s="1"/>
      <c r="AT3" s="1" t="s">
        <v>324</v>
      </c>
      <c r="AU3" s="1"/>
      <c r="AV3" s="1"/>
      <c r="AW3" s="1"/>
      <c r="AX3" s="1" t="s">
        <v>367</v>
      </c>
      <c r="AY3" s="1"/>
      <c r="AZ3" s="1"/>
      <c r="BA3" s="1"/>
      <c r="BB3" s="1" t="s">
        <v>324</v>
      </c>
      <c r="BC3" s="1"/>
      <c r="BD3" s="1"/>
      <c r="BE3" s="1"/>
      <c r="BF3" s="1" t="s">
        <v>367</v>
      </c>
      <c r="BG3" s="1"/>
      <c r="BH3" s="1"/>
      <c r="BI3" s="1"/>
      <c r="BJ3" s="1" t="s">
        <v>324</v>
      </c>
      <c r="BK3" s="1"/>
      <c r="BL3" s="1"/>
      <c r="BM3" s="1"/>
      <c r="BN3" s="1" t="s">
        <v>367</v>
      </c>
      <c r="BO3" s="1"/>
      <c r="BP3" s="1"/>
      <c r="BQ3" s="1"/>
      <c r="BR3" s="1" t="s">
        <v>324</v>
      </c>
      <c r="BS3" s="1"/>
      <c r="BT3" s="1"/>
      <c r="BU3" s="1"/>
      <c r="BV3" s="1" t="s">
        <v>367</v>
      </c>
      <c r="BW3" s="1"/>
      <c r="BX3" s="1"/>
      <c r="BY3" s="1"/>
      <c r="BZ3" s="1" t="s">
        <v>324</v>
      </c>
      <c r="CA3" s="1"/>
      <c r="CB3" s="1"/>
      <c r="CC3" s="1"/>
      <c r="CD3" s="1"/>
      <c r="CE3" s="467"/>
      <c r="CF3" s="28"/>
      <c r="CG3" s="1"/>
      <c r="CH3" s="1"/>
      <c r="CI3" s="1"/>
      <c r="CJ3" s="1"/>
      <c r="CK3" s="28"/>
      <c r="CL3" s="28"/>
      <c r="CM3" s="1"/>
      <c r="CN3" s="1"/>
      <c r="CO3" s="1"/>
      <c r="CP3" s="1"/>
      <c r="CQ3" s="28"/>
      <c r="CR3" s="28"/>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row>
    <row r="4" spans="1:161" x14ac:dyDescent="0.25">
      <c r="B4" t="s">
        <v>347</v>
      </c>
      <c r="C4" s="1"/>
      <c r="D4" s="1"/>
      <c r="E4" s="1"/>
      <c r="F4" t="s">
        <v>347</v>
      </c>
      <c r="G4" s="1"/>
      <c r="H4" s="1"/>
      <c r="I4" s="1"/>
      <c r="J4" t="s">
        <v>359</v>
      </c>
      <c r="K4" s="1"/>
      <c r="L4" s="1"/>
      <c r="M4" s="1"/>
      <c r="N4" t="s">
        <v>359</v>
      </c>
      <c r="O4" s="1"/>
      <c r="P4" s="1"/>
      <c r="Q4" s="1"/>
      <c r="R4" t="s">
        <v>360</v>
      </c>
      <c r="S4" s="1"/>
      <c r="T4" s="1"/>
      <c r="U4" s="1"/>
      <c r="V4" t="s">
        <v>360</v>
      </c>
      <c r="W4" s="1"/>
      <c r="X4" s="1"/>
      <c r="Y4" s="1"/>
      <c r="Z4" t="s">
        <v>361</v>
      </c>
      <c r="AA4" s="1"/>
      <c r="AB4" s="1"/>
      <c r="AC4" s="1"/>
      <c r="AD4" t="s">
        <v>361</v>
      </c>
      <c r="AE4" s="1"/>
      <c r="AF4" s="1"/>
      <c r="AG4" s="1"/>
      <c r="AH4" t="s">
        <v>353</v>
      </c>
      <c r="AI4" s="1"/>
      <c r="AJ4" s="1"/>
      <c r="AK4" s="1"/>
      <c r="AL4" t="s">
        <v>353</v>
      </c>
      <c r="AM4" s="1"/>
      <c r="AN4" s="1"/>
      <c r="AO4" s="1"/>
      <c r="AP4" s="454" t="s">
        <v>347</v>
      </c>
      <c r="AQ4" s="1"/>
      <c r="AR4" s="1"/>
      <c r="AS4" s="1"/>
      <c r="AT4" t="s">
        <v>347</v>
      </c>
      <c r="AU4" s="1"/>
      <c r="AV4" s="1"/>
      <c r="AW4" s="1"/>
      <c r="AX4" t="s">
        <v>359</v>
      </c>
      <c r="AY4" s="1"/>
      <c r="AZ4" s="1"/>
      <c r="BA4" s="1"/>
      <c r="BB4" t="s">
        <v>359</v>
      </c>
      <c r="BC4" s="1"/>
      <c r="BD4" s="1"/>
      <c r="BE4" s="1"/>
      <c r="BF4" t="s">
        <v>360</v>
      </c>
      <c r="BG4" s="1"/>
      <c r="BH4" s="1"/>
      <c r="BI4" s="1"/>
      <c r="BJ4" t="s">
        <v>360</v>
      </c>
      <c r="BK4" s="1"/>
      <c r="BL4" s="1"/>
      <c r="BM4" s="1"/>
      <c r="BN4" t="s">
        <v>361</v>
      </c>
      <c r="BO4" s="1"/>
      <c r="BP4" s="1"/>
      <c r="BQ4" s="1"/>
      <c r="BR4" t="s">
        <v>361</v>
      </c>
      <c r="BS4" s="1"/>
      <c r="BT4" s="1"/>
      <c r="BU4" s="1"/>
      <c r="BV4" t="s">
        <v>353</v>
      </c>
      <c r="BW4" s="1"/>
      <c r="BX4" s="1"/>
      <c r="BY4" s="1"/>
      <c r="BZ4" t="s">
        <v>353</v>
      </c>
      <c r="CA4" s="1"/>
      <c r="CB4" s="1"/>
      <c r="CC4" s="1"/>
      <c r="CD4" s="1"/>
      <c r="CE4" s="453" t="s">
        <v>350</v>
      </c>
      <c r="CF4" s="1"/>
      <c r="CG4" s="1"/>
      <c r="CH4" s="1"/>
      <c r="CI4" s="1"/>
      <c r="CJ4" s="1"/>
      <c r="CK4" s="1" t="s">
        <v>1176</v>
      </c>
      <c r="CL4" s="1"/>
      <c r="CM4" s="1"/>
      <c r="CN4" s="1"/>
      <c r="CO4" s="1"/>
      <c r="CP4" s="1"/>
      <c r="CQ4" s="1" t="s">
        <v>359</v>
      </c>
      <c r="CR4" s="1"/>
      <c r="CS4" s="1"/>
      <c r="CT4" s="1"/>
      <c r="CU4" s="1"/>
      <c r="CV4" s="1"/>
      <c r="CW4" s="1" t="s">
        <v>347</v>
      </c>
      <c r="CX4" s="1"/>
      <c r="CY4" s="1"/>
      <c r="CZ4" s="1"/>
      <c r="DA4" s="1"/>
      <c r="DB4" s="1"/>
      <c r="DC4" s="1" t="s">
        <v>359</v>
      </c>
      <c r="DD4" s="1"/>
      <c r="DE4" s="1"/>
      <c r="DF4" s="1"/>
      <c r="DG4" s="1"/>
      <c r="DH4" s="1"/>
      <c r="DI4" s="1" t="s">
        <v>347</v>
      </c>
      <c r="DJ4" s="1"/>
      <c r="DK4" s="1"/>
      <c r="DL4" s="1"/>
      <c r="DM4" s="1"/>
      <c r="DN4" s="1"/>
      <c r="DO4" s="1" t="s">
        <v>359</v>
      </c>
      <c r="DP4" s="1"/>
      <c r="DQ4" s="1"/>
      <c r="DR4" s="1"/>
      <c r="DS4" s="1"/>
      <c r="DT4" s="1"/>
      <c r="DU4" s="1" t="s">
        <v>347</v>
      </c>
      <c r="DV4" s="1"/>
      <c r="DW4" s="1"/>
      <c r="DX4" s="1"/>
      <c r="DY4" s="1"/>
      <c r="DZ4" s="1"/>
      <c r="EA4" s="1" t="s">
        <v>359</v>
      </c>
      <c r="EB4" s="1"/>
      <c r="EC4" s="1"/>
      <c r="ED4" s="1"/>
      <c r="EE4" s="1"/>
      <c r="EF4" s="1"/>
      <c r="EG4" s="1" t="s">
        <v>347</v>
      </c>
      <c r="EH4" s="1"/>
      <c r="EI4" s="1"/>
      <c r="EJ4" s="1"/>
      <c r="EK4" s="1"/>
      <c r="EL4" s="1"/>
      <c r="EM4" s="1" t="s">
        <v>359</v>
      </c>
      <c r="EN4" s="1"/>
      <c r="EO4" s="1"/>
      <c r="EP4" s="1"/>
      <c r="EQ4" s="1"/>
      <c r="ER4" s="1"/>
      <c r="ES4" s="1" t="s">
        <v>347</v>
      </c>
      <c r="ET4" s="1"/>
      <c r="EU4" s="1"/>
      <c r="EV4" s="1"/>
      <c r="EW4" s="1"/>
      <c r="EX4" s="1"/>
      <c r="EY4" s="1" t="s">
        <v>359</v>
      </c>
      <c r="EZ4" s="1"/>
      <c r="FA4" s="1"/>
      <c r="FB4" s="1"/>
      <c r="FC4" s="1"/>
      <c r="FD4" s="1"/>
      <c r="FE4" s="1"/>
    </row>
    <row r="5" spans="1:161" s="442" customFormat="1" ht="15.75" thickBot="1" x14ac:dyDescent="0.3">
      <c r="A5" s="461"/>
      <c r="B5" s="448" t="str">
        <f>B1&amp;B2&amp;B3&amp;B4</f>
        <v>GeothermalAirConditionerWaterCooledElecResorNoneLessthan65kbtuh</v>
      </c>
      <c r="C5" s="448"/>
      <c r="D5" s="448"/>
      <c r="E5" s="448"/>
      <c r="F5" s="448" t="str">
        <f>F1&amp;F2&amp;F3&amp;F4</f>
        <v>GeothermalAirConditionerWaterCooledOtherLessthan65kbtuh</v>
      </c>
      <c r="G5" s="448"/>
      <c r="H5" s="448"/>
      <c r="I5" s="448"/>
      <c r="J5" s="448" t="str">
        <f>J1&amp;J2&amp;J3&amp;J4</f>
        <v>GeothermalAirConditionerWaterCooledElecResorNone65to135kbtuh</v>
      </c>
      <c r="K5" s="448"/>
      <c r="L5" s="448"/>
      <c r="M5" s="448"/>
      <c r="N5" s="448" t="str">
        <f>N1&amp;N2&amp;N3&amp;N4</f>
        <v>GeothermalAirConditionerWaterCooledOther65to135kbtuh</v>
      </c>
      <c r="O5" s="448"/>
      <c r="P5" s="448"/>
      <c r="Q5" s="448"/>
      <c r="R5" s="448" t="str">
        <f>R1&amp;R2&amp;R3&amp;R4</f>
        <v>GeothermalAirConditionerWaterCooledElecResorNone135to240kbtuh</v>
      </c>
      <c r="S5" s="448"/>
      <c r="T5" s="448"/>
      <c r="U5" s="448"/>
      <c r="V5" s="448" t="str">
        <f>V1&amp;V2&amp;V3&amp;V4</f>
        <v>GeothermalAirConditionerWaterCooledOther135to240kbtuh</v>
      </c>
      <c r="W5" s="448"/>
      <c r="X5" s="448"/>
      <c r="Y5" s="448"/>
      <c r="Z5" s="448" t="str">
        <f>Z1&amp;Z2&amp;Z3&amp;Z4</f>
        <v>GeothermalAirConditionerWaterCooledElecResorNone240to760kbtuh</v>
      </c>
      <c r="AA5" s="448"/>
      <c r="AB5" s="448"/>
      <c r="AC5" s="448"/>
      <c r="AD5" s="448" t="str">
        <f>AD1&amp;AD2&amp;AD3&amp;AD4</f>
        <v>GeothermalAirConditionerWaterCooledOther240to760kbtuh</v>
      </c>
      <c r="AE5" s="448"/>
      <c r="AF5" s="448"/>
      <c r="AG5" s="448"/>
      <c r="AH5" s="448" t="str">
        <f>AH1&amp;AH2&amp;AH3&amp;AH4</f>
        <v>GeothermalAirConditionerWaterCooledElecResorNoneGreaterthan760kbtuh</v>
      </c>
      <c r="AI5" s="448"/>
      <c r="AJ5" s="448"/>
      <c r="AK5" s="448"/>
      <c r="AL5" s="448" t="str">
        <f>AL1&amp;AL2&amp;AL3&amp;AL4</f>
        <v>GeothermalAirConditionerWaterCooledOtherGreaterthan760kbtuh</v>
      </c>
      <c r="AM5" s="448"/>
      <c r="AN5" s="448"/>
      <c r="AO5" s="449"/>
      <c r="AP5" s="455" t="str">
        <f>AP1&amp;AP2&amp;AP3&amp;AP4</f>
        <v>GeothermalAirConditionerEvaporativelyCooledElecResorNoneLessthan65kbtuh</v>
      </c>
      <c r="AQ5" s="448"/>
      <c r="AR5" s="448"/>
      <c r="AS5" s="448"/>
      <c r="AT5" s="448" t="str">
        <f>AT1&amp;AT2&amp;AT3&amp;AT4</f>
        <v>GeothermalAirConditionerEvaporativelyCooledOtherLessthan65kbtuh</v>
      </c>
      <c r="AU5" s="448"/>
      <c r="AV5" s="448"/>
      <c r="AW5" s="448"/>
      <c r="AX5" s="448" t="str">
        <f>AX1&amp;AX2&amp;AX3&amp;AX4</f>
        <v>GeothermalAirConditionerEvaporativelyCooledElecResorNone65to135kbtuh</v>
      </c>
      <c r="AY5" s="448"/>
      <c r="AZ5" s="448"/>
      <c r="BA5" s="448"/>
      <c r="BB5" s="448" t="str">
        <f>BB1&amp;BB2&amp;BB3&amp;BB4</f>
        <v>GeothermalAirConditionerEvaporativelyCooledOther65to135kbtuh</v>
      </c>
      <c r="BC5" s="448"/>
      <c r="BD5" s="448"/>
      <c r="BE5" s="448"/>
      <c r="BF5" s="448" t="str">
        <f>BF1&amp;BF2&amp;BF3&amp;BF4</f>
        <v>GeothermalAirConditionerEvaporativelyCooledElecResorNone135to240kbtuh</v>
      </c>
      <c r="BG5" s="448"/>
      <c r="BH5" s="448"/>
      <c r="BI5" s="448"/>
      <c r="BJ5" s="448" t="str">
        <f>BJ1&amp;BJ2&amp;BJ3&amp;BJ4</f>
        <v>GeothermalAirConditionerEvaporativelyCooledOther135to240kbtuh</v>
      </c>
      <c r="BK5" s="448"/>
      <c r="BL5" s="448"/>
      <c r="BM5" s="448"/>
      <c r="BN5" s="448" t="str">
        <f>BN1&amp;BN2&amp;BN3&amp;BN4</f>
        <v>GeothermalAirConditionerEvaporativelyCooledElecResorNone240to760kbtuh</v>
      </c>
      <c r="BO5" s="448"/>
      <c r="BP5" s="448"/>
      <c r="BQ5" s="448"/>
      <c r="BR5" s="448" t="str">
        <f>BR1&amp;BR2&amp;BR3&amp;BR4</f>
        <v>GeothermalAirConditionerEvaporativelyCooledOther240to760kbtuh</v>
      </c>
      <c r="BS5" s="448"/>
      <c r="BT5" s="448"/>
      <c r="BU5" s="448"/>
      <c r="BV5" s="448" t="str">
        <f>BV1&amp;BV2&amp;BV3&amp;BV4</f>
        <v>GeothermalAirConditionerEvaporativelyCooledElecResorNoneGreaterthan760kbtuh</v>
      </c>
      <c r="BW5" s="448"/>
      <c r="BX5" s="448"/>
      <c r="BY5" s="448"/>
      <c r="BZ5" s="448" t="str">
        <f>BZ1&amp;BZ2&amp;BZ3&amp;BZ4</f>
        <v>GeothermalAirConditionerEvaporativelyCooledOtherGreaterthan760kbtuh</v>
      </c>
      <c r="CA5" s="448"/>
      <c r="CB5" s="448"/>
      <c r="CC5" s="448"/>
      <c r="CD5" s="461"/>
      <c r="CE5" s="468" t="str">
        <f>CE1&amp;CE2&amp;CE3&amp;CE4</f>
        <v>GeothermalHeatPumpWatertoAirWaterLoopLessthan17kbtuh</v>
      </c>
      <c r="CF5" s="462"/>
      <c r="CG5" s="462"/>
      <c r="CH5" s="462"/>
      <c r="CI5" s="462"/>
      <c r="CJ5" s="463"/>
      <c r="CK5" s="462" t="str">
        <f>CK1&amp;CK2&amp;CK3&amp;CK4</f>
        <v>GeothermalHeatPumpWatertoAirWaterLoop17to65kbtuh</v>
      </c>
      <c r="CL5" s="462"/>
      <c r="CM5" s="462"/>
      <c r="CN5" s="462"/>
      <c r="CO5" s="462"/>
      <c r="CP5" s="463"/>
      <c r="CQ5" s="462" t="str">
        <f>CQ1&amp;CQ2&amp;CQ3&amp;CQ4</f>
        <v>GeothermalHeatPumpWatertoAirWaterLoop65to135kbtuh</v>
      </c>
      <c r="CR5" s="462"/>
      <c r="CS5" s="462"/>
      <c r="CT5" s="462"/>
      <c r="CU5" s="462"/>
      <c r="CV5" s="463"/>
      <c r="CW5" s="462" t="str">
        <f>CW1&amp;CW2&amp;CW3&amp;CW4</f>
        <v>GeothermalHeatPumpWatertoAirGroundWaterLessthan65kbtuh</v>
      </c>
      <c r="CX5" s="462"/>
      <c r="CY5" s="462"/>
      <c r="CZ5" s="462"/>
      <c r="DA5" s="462"/>
      <c r="DB5" s="463"/>
      <c r="DC5" s="462" t="str">
        <f>DC1&amp;DC2&amp;DC3&amp;DC4</f>
        <v>GeothermalHeatPumpWatertoAirGroundWater65to135kbtuh</v>
      </c>
      <c r="DD5" s="462"/>
      <c r="DE5" s="462"/>
      <c r="DF5" s="462"/>
      <c r="DG5" s="462"/>
      <c r="DH5" s="463"/>
      <c r="DI5" s="462" t="str">
        <f>DI1&amp;DI2&amp;DI3&amp;DI4</f>
        <v>GeothermalHeatPumpBrinetoAirGroundLoopLessthan65kbtuh</v>
      </c>
      <c r="DJ5" s="462"/>
      <c r="DK5" s="462"/>
      <c r="DL5" s="462"/>
      <c r="DM5" s="462"/>
      <c r="DN5" s="463"/>
      <c r="DO5" s="462" t="str">
        <f>DO1&amp;DO2&amp;DO3&amp;DO4</f>
        <v>GeothermalHeatPumpBrinetoAirGroundLoop65to135kbtuh</v>
      </c>
      <c r="DP5" s="462"/>
      <c r="DQ5" s="462"/>
      <c r="DR5" s="462"/>
      <c r="DS5" s="462"/>
      <c r="DT5" s="463"/>
      <c r="DU5" s="462" t="str">
        <f>DU1&amp;DU2&amp;DU3&amp;DU4</f>
        <v>GeothermalHeatPumpWatertoWaterWaterLoopLessthan65kbtuh</v>
      </c>
      <c r="DV5" s="462"/>
      <c r="DW5" s="462"/>
      <c r="DX5" s="462"/>
      <c r="DY5" s="462"/>
      <c r="DZ5" s="463"/>
      <c r="EA5" s="462" t="str">
        <f>EA1&amp;EA2&amp;EA3&amp;EA4</f>
        <v>GeothermalHeatPumpWatertoWaterWaterLoop65to135kbtuh</v>
      </c>
      <c r="EB5" s="462"/>
      <c r="EC5" s="462"/>
      <c r="ED5" s="462"/>
      <c r="EE5" s="462"/>
      <c r="EF5" s="463"/>
      <c r="EG5" s="462" t="str">
        <f>EG1&amp;EG2&amp;EG3&amp;EG4</f>
        <v>GeothermalHeatPumpWatertoWaterGroundWaterLessthan65kbtuh</v>
      </c>
      <c r="EH5" s="462"/>
      <c r="EI5" s="462"/>
      <c r="EJ5" s="462"/>
      <c r="EK5" s="462"/>
      <c r="EL5" s="463"/>
      <c r="EM5" s="462" t="str">
        <f>EM1&amp;EM2&amp;EM3&amp;EM4</f>
        <v>GeothermalHeatPumpWatertoWaterGroundWater65to135kbtuh</v>
      </c>
      <c r="EN5" s="462"/>
      <c r="EO5" s="462"/>
      <c r="EP5" s="462"/>
      <c r="EQ5" s="462"/>
      <c r="ER5" s="463"/>
      <c r="ES5" s="462" t="str">
        <f>ES1&amp;ES2&amp;ES3&amp;ES4</f>
        <v>GeothermalHeatPumpBrinetoWaterGroundLoopLessthan65kbtuh</v>
      </c>
      <c r="ET5" s="462"/>
      <c r="EU5" s="462"/>
      <c r="EV5" s="462"/>
      <c r="EW5" s="462"/>
      <c r="EX5" s="463"/>
      <c r="EY5" s="462" t="str">
        <f>EY1&amp;EY2&amp;EY3&amp;EY4</f>
        <v>GeothermalHeatPumpBrinetoWaterGroundLoop65to135kbtuh</v>
      </c>
      <c r="EZ5" s="462"/>
      <c r="FA5" s="462"/>
      <c r="FB5" s="462"/>
      <c r="FC5" s="462"/>
      <c r="FD5" s="463"/>
      <c r="FE5" s="461"/>
    </row>
    <row r="6" spans="1:161" x14ac:dyDescent="0.25">
      <c r="A6" s="447" t="s">
        <v>26</v>
      </c>
      <c r="B6" s="30" t="s">
        <v>7</v>
      </c>
      <c r="C6" s="25" t="s">
        <v>6</v>
      </c>
      <c r="D6" s="65" t="s">
        <v>45</v>
      </c>
      <c r="E6" s="66" t="s">
        <v>46</v>
      </c>
      <c r="F6" s="30" t="s">
        <v>7</v>
      </c>
      <c r="G6" s="25" t="s">
        <v>6</v>
      </c>
      <c r="H6" s="65" t="s">
        <v>45</v>
      </c>
      <c r="I6" s="66" t="s">
        <v>46</v>
      </c>
      <c r="J6" s="24" t="s">
        <v>7</v>
      </c>
      <c r="K6" s="25" t="s">
        <v>723</v>
      </c>
      <c r="L6" s="65" t="s">
        <v>45</v>
      </c>
      <c r="M6" s="66" t="s">
        <v>46</v>
      </c>
      <c r="N6" s="24" t="s">
        <v>7</v>
      </c>
      <c r="O6" s="25" t="s">
        <v>723</v>
      </c>
      <c r="P6" s="65" t="s">
        <v>45</v>
      </c>
      <c r="Q6" s="66" t="s">
        <v>46</v>
      </c>
      <c r="R6" s="30" t="s">
        <v>7</v>
      </c>
      <c r="S6" s="25" t="s">
        <v>6</v>
      </c>
      <c r="T6" s="65" t="s">
        <v>45</v>
      </c>
      <c r="U6" s="66" t="s">
        <v>46</v>
      </c>
      <c r="V6" s="30" t="s">
        <v>7</v>
      </c>
      <c r="W6" s="25" t="s">
        <v>6</v>
      </c>
      <c r="X6" s="65" t="s">
        <v>45</v>
      </c>
      <c r="Y6" s="66" t="s">
        <v>46</v>
      </c>
      <c r="Z6" s="24" t="s">
        <v>7</v>
      </c>
      <c r="AA6" s="25" t="s">
        <v>723</v>
      </c>
      <c r="AB6" s="65" t="s">
        <v>45</v>
      </c>
      <c r="AC6" s="66" t="s">
        <v>46</v>
      </c>
      <c r="AD6" s="24" t="s">
        <v>7</v>
      </c>
      <c r="AE6" s="25" t="s">
        <v>723</v>
      </c>
      <c r="AF6" s="65" t="s">
        <v>45</v>
      </c>
      <c r="AG6" s="66" t="s">
        <v>46</v>
      </c>
      <c r="AH6" s="24" t="s">
        <v>7</v>
      </c>
      <c r="AI6" s="25" t="s">
        <v>723</v>
      </c>
      <c r="AJ6" s="65" t="s">
        <v>45</v>
      </c>
      <c r="AK6" s="66" t="s">
        <v>46</v>
      </c>
      <c r="AL6" s="24" t="s">
        <v>7</v>
      </c>
      <c r="AM6" s="25" t="s">
        <v>723</v>
      </c>
      <c r="AN6" s="65" t="s">
        <v>45</v>
      </c>
      <c r="AO6" s="450" t="s">
        <v>46</v>
      </c>
      <c r="AP6" s="456" t="s">
        <v>7</v>
      </c>
      <c r="AQ6" s="25" t="s">
        <v>6</v>
      </c>
      <c r="AR6" s="65" t="s">
        <v>45</v>
      </c>
      <c r="AS6" s="66" t="s">
        <v>46</v>
      </c>
      <c r="AT6" s="30" t="s">
        <v>7</v>
      </c>
      <c r="AU6" s="25" t="s">
        <v>6</v>
      </c>
      <c r="AV6" s="65" t="s">
        <v>45</v>
      </c>
      <c r="AW6" s="66" t="s">
        <v>46</v>
      </c>
      <c r="AX6" s="24" t="s">
        <v>7</v>
      </c>
      <c r="AY6" s="25" t="s">
        <v>723</v>
      </c>
      <c r="AZ6" s="65" t="s">
        <v>45</v>
      </c>
      <c r="BA6" s="66" t="s">
        <v>46</v>
      </c>
      <c r="BB6" s="24" t="s">
        <v>7</v>
      </c>
      <c r="BC6" s="25" t="s">
        <v>723</v>
      </c>
      <c r="BD6" s="65" t="s">
        <v>45</v>
      </c>
      <c r="BE6" s="66" t="s">
        <v>46</v>
      </c>
      <c r="BF6" s="30" t="s">
        <v>7</v>
      </c>
      <c r="BG6" s="25" t="s">
        <v>6</v>
      </c>
      <c r="BH6" s="65" t="s">
        <v>45</v>
      </c>
      <c r="BI6" s="66" t="s">
        <v>46</v>
      </c>
      <c r="BJ6" s="30" t="s">
        <v>7</v>
      </c>
      <c r="BK6" s="25" t="s">
        <v>6</v>
      </c>
      <c r="BL6" s="65" t="s">
        <v>45</v>
      </c>
      <c r="BM6" s="66" t="s">
        <v>46</v>
      </c>
      <c r="BN6" s="24" t="s">
        <v>7</v>
      </c>
      <c r="BO6" s="25" t="s">
        <v>723</v>
      </c>
      <c r="BP6" s="65" t="s">
        <v>45</v>
      </c>
      <c r="BQ6" s="66" t="s">
        <v>46</v>
      </c>
      <c r="BR6" s="24" t="s">
        <v>7</v>
      </c>
      <c r="BS6" s="25" t="s">
        <v>723</v>
      </c>
      <c r="BT6" s="65" t="s">
        <v>45</v>
      </c>
      <c r="BU6" s="66" t="s">
        <v>46</v>
      </c>
      <c r="BV6" s="24" t="s">
        <v>7</v>
      </c>
      <c r="BW6" s="25" t="s">
        <v>723</v>
      </c>
      <c r="BX6" s="65" t="s">
        <v>45</v>
      </c>
      <c r="BY6" s="66" t="s">
        <v>46</v>
      </c>
      <c r="BZ6" s="24" t="s">
        <v>7</v>
      </c>
      <c r="CA6" s="25" t="s">
        <v>723</v>
      </c>
      <c r="CB6" s="65" t="s">
        <v>45</v>
      </c>
      <c r="CC6" s="66" t="s">
        <v>46</v>
      </c>
      <c r="CD6" s="464"/>
      <c r="CE6" s="456" t="s">
        <v>7</v>
      </c>
      <c r="CF6" s="469" t="s">
        <v>723</v>
      </c>
      <c r="CG6" s="93" t="s">
        <v>28</v>
      </c>
      <c r="CH6" s="473" t="s">
        <v>45</v>
      </c>
      <c r="CI6" s="474" t="s">
        <v>1196</v>
      </c>
      <c r="CJ6" s="476" t="s">
        <v>75</v>
      </c>
      <c r="CK6" s="477" t="s">
        <v>7</v>
      </c>
      <c r="CL6" s="478" t="s">
        <v>723</v>
      </c>
      <c r="CM6" s="479" t="s">
        <v>28</v>
      </c>
      <c r="CN6" s="473" t="s">
        <v>45</v>
      </c>
      <c r="CO6" s="474" t="s">
        <v>1196</v>
      </c>
      <c r="CP6" s="475" t="s">
        <v>75</v>
      </c>
      <c r="CQ6" s="477" t="s">
        <v>7</v>
      </c>
      <c r="CR6" s="478" t="s">
        <v>723</v>
      </c>
      <c r="CS6" s="479" t="s">
        <v>28</v>
      </c>
      <c r="CT6" s="473" t="s">
        <v>45</v>
      </c>
      <c r="CU6" s="474" t="s">
        <v>1196</v>
      </c>
      <c r="CV6" s="475" t="s">
        <v>75</v>
      </c>
      <c r="CW6" s="477" t="s">
        <v>7</v>
      </c>
      <c r="CX6" s="478" t="s">
        <v>723</v>
      </c>
      <c r="CY6" s="479" t="s">
        <v>28</v>
      </c>
      <c r="CZ6" s="473" t="s">
        <v>45</v>
      </c>
      <c r="DA6" s="474" t="s">
        <v>1196</v>
      </c>
      <c r="DB6" s="475" t="s">
        <v>75</v>
      </c>
      <c r="DC6" s="477" t="s">
        <v>7</v>
      </c>
      <c r="DD6" s="478" t="s">
        <v>723</v>
      </c>
      <c r="DE6" s="479" t="s">
        <v>28</v>
      </c>
      <c r="DF6" s="473" t="s">
        <v>45</v>
      </c>
      <c r="DG6" s="474" t="s">
        <v>1196</v>
      </c>
      <c r="DH6" s="475" t="s">
        <v>75</v>
      </c>
      <c r="DI6" s="477" t="s">
        <v>7</v>
      </c>
      <c r="DJ6" s="478" t="s">
        <v>723</v>
      </c>
      <c r="DK6" s="479" t="s">
        <v>28</v>
      </c>
      <c r="DL6" s="473" t="s">
        <v>45</v>
      </c>
      <c r="DM6" s="474" t="s">
        <v>1196</v>
      </c>
      <c r="DN6" s="475" t="s">
        <v>75</v>
      </c>
      <c r="DO6" s="477" t="s">
        <v>7</v>
      </c>
      <c r="DP6" s="478" t="s">
        <v>723</v>
      </c>
      <c r="DQ6" s="479" t="s">
        <v>28</v>
      </c>
      <c r="DR6" s="473" t="s">
        <v>45</v>
      </c>
      <c r="DS6" s="474" t="s">
        <v>1196</v>
      </c>
      <c r="DT6" s="475" t="s">
        <v>75</v>
      </c>
      <c r="DU6" s="477" t="s">
        <v>7</v>
      </c>
      <c r="DV6" s="478" t="s">
        <v>723</v>
      </c>
      <c r="DW6" s="479" t="s">
        <v>28</v>
      </c>
      <c r="DX6" s="473" t="s">
        <v>45</v>
      </c>
      <c r="DY6" s="474" t="s">
        <v>1196</v>
      </c>
      <c r="DZ6" s="475" t="s">
        <v>75</v>
      </c>
      <c r="EA6" s="477" t="s">
        <v>7</v>
      </c>
      <c r="EB6" s="478" t="s">
        <v>723</v>
      </c>
      <c r="EC6" s="479" t="s">
        <v>28</v>
      </c>
      <c r="ED6" s="473" t="s">
        <v>45</v>
      </c>
      <c r="EE6" s="474" t="s">
        <v>1196</v>
      </c>
      <c r="EF6" s="475" t="s">
        <v>75</v>
      </c>
      <c r="EG6" s="477" t="s">
        <v>7</v>
      </c>
      <c r="EH6" s="478" t="s">
        <v>723</v>
      </c>
      <c r="EI6" s="479" t="s">
        <v>28</v>
      </c>
      <c r="EJ6" s="473" t="s">
        <v>45</v>
      </c>
      <c r="EK6" s="474" t="s">
        <v>1196</v>
      </c>
      <c r="EL6" s="475" t="s">
        <v>75</v>
      </c>
      <c r="EM6" s="477" t="s">
        <v>7</v>
      </c>
      <c r="EN6" s="478" t="s">
        <v>723</v>
      </c>
      <c r="EO6" s="479" t="s">
        <v>28</v>
      </c>
      <c r="EP6" s="473" t="s">
        <v>45</v>
      </c>
      <c r="EQ6" s="474" t="s">
        <v>1196</v>
      </c>
      <c r="ER6" s="475" t="s">
        <v>75</v>
      </c>
      <c r="ES6" s="477" t="s">
        <v>7</v>
      </c>
      <c r="ET6" s="478" t="s">
        <v>723</v>
      </c>
      <c r="EU6" s="479" t="s">
        <v>28</v>
      </c>
      <c r="EV6" s="473" t="s">
        <v>45</v>
      </c>
      <c r="EW6" s="474" t="s">
        <v>1196</v>
      </c>
      <c r="EX6" s="475" t="s">
        <v>75</v>
      </c>
      <c r="EY6" s="477" t="s">
        <v>7</v>
      </c>
      <c r="EZ6" s="478" t="s">
        <v>723</v>
      </c>
      <c r="FA6" s="479" t="s">
        <v>28</v>
      </c>
      <c r="FB6" s="473" t="s">
        <v>45</v>
      </c>
      <c r="FC6" s="474" t="s">
        <v>1196</v>
      </c>
      <c r="FD6" s="475" t="s">
        <v>75</v>
      </c>
      <c r="FE6" s="441"/>
    </row>
    <row r="7" spans="1:161" x14ac:dyDescent="0.25">
      <c r="A7" s="26" cm="1">
        <f t="array" ref="A7:A37">BaselineRow</f>
        <v>1997</v>
      </c>
      <c r="B7" s="23">
        <f t="shared" ref="B7:C32" si="0">B$37</f>
        <v>12.1</v>
      </c>
      <c r="C7" s="7">
        <f t="shared" si="0"/>
        <v>12.3</v>
      </c>
      <c r="D7" s="83">
        <f t="shared" ref="D7:D32" si="1">12/B7</f>
        <v>0.99173553719008267</v>
      </c>
      <c r="E7" s="84">
        <f t="shared" ref="E7:E37" si="2">12/C7</f>
        <v>0.97560975609756095</v>
      </c>
      <c r="F7" s="23">
        <f t="shared" ref="F7:G32" si="3">F$37</f>
        <v>12.1</v>
      </c>
      <c r="G7" s="7">
        <f t="shared" si="3"/>
        <v>12.3</v>
      </c>
      <c r="H7" s="83">
        <f t="shared" ref="H7:H32" si="4">12/F7</f>
        <v>0.99173553719008267</v>
      </c>
      <c r="I7" s="84">
        <f t="shared" ref="I7:I32" si="5">12/G7</f>
        <v>0.97560975609756095</v>
      </c>
      <c r="J7" s="23">
        <f t="shared" ref="J7:K32" si="6">J$37</f>
        <v>12.1</v>
      </c>
      <c r="K7" s="7">
        <f t="shared" si="6"/>
        <v>13.9</v>
      </c>
      <c r="L7" s="83">
        <f t="shared" ref="L7:L32" si="7">12/J7</f>
        <v>0.99173553719008267</v>
      </c>
      <c r="M7" s="84">
        <f t="shared" ref="M7:M32" si="8">12/K7</f>
        <v>0.86330935251798557</v>
      </c>
      <c r="N7" s="23">
        <f t="shared" ref="N7:O32" si="9">N$37</f>
        <v>11.9</v>
      </c>
      <c r="O7" s="7">
        <f t="shared" si="9"/>
        <v>13.7</v>
      </c>
      <c r="P7" s="83">
        <f t="shared" ref="P7:P32" si="10">12/N7</f>
        <v>1.0084033613445378</v>
      </c>
      <c r="Q7" s="84">
        <f t="shared" ref="Q7:Q32" si="11">12/O7</f>
        <v>0.87591240875912413</v>
      </c>
      <c r="R7" s="23">
        <f t="shared" ref="R7:S32" si="12">R$37</f>
        <v>12.5</v>
      </c>
      <c r="S7" s="7">
        <f t="shared" si="12"/>
        <v>13.9</v>
      </c>
      <c r="T7" s="83">
        <f t="shared" ref="T7:T32" si="13">12/R7</f>
        <v>0.96</v>
      </c>
      <c r="U7" s="84">
        <f t="shared" ref="U7:U32" si="14">12/S7</f>
        <v>0.86330935251798557</v>
      </c>
      <c r="V7" s="23">
        <f t="shared" ref="V7:W32" si="15">V$37</f>
        <v>12.3</v>
      </c>
      <c r="W7" s="7">
        <f t="shared" si="15"/>
        <v>13.7</v>
      </c>
      <c r="X7" s="83">
        <f t="shared" ref="X7:X32" si="16">12/V7</f>
        <v>0.97560975609756095</v>
      </c>
      <c r="Y7" s="84">
        <f t="shared" ref="Y7:Y32" si="17">12/W7</f>
        <v>0.87591240875912413</v>
      </c>
      <c r="Z7" s="23">
        <f t="shared" ref="Z7:AA32" si="18">Z$37</f>
        <v>12.4</v>
      </c>
      <c r="AA7" s="7">
        <f t="shared" si="18"/>
        <v>13.6</v>
      </c>
      <c r="AB7" s="83">
        <f t="shared" ref="AB7:AB32" si="19">12/Z7</f>
        <v>0.96774193548387089</v>
      </c>
      <c r="AC7" s="84">
        <f t="shared" ref="AC7:AC32" si="20">12/AA7</f>
        <v>0.88235294117647056</v>
      </c>
      <c r="AD7" s="23">
        <f t="shared" ref="AD7:AE32" si="21">AD$37</f>
        <v>12.2</v>
      </c>
      <c r="AE7" s="7">
        <f t="shared" si="21"/>
        <v>13.4</v>
      </c>
      <c r="AF7" s="83">
        <f t="shared" ref="AF7:AF32" si="22">12/AD7</f>
        <v>0.98360655737704927</v>
      </c>
      <c r="AG7" s="84">
        <f t="shared" ref="AG7:AG32" si="23">12/AE7</f>
        <v>0.89552238805970152</v>
      </c>
      <c r="AH7" s="23">
        <f t="shared" ref="AH7:AI32" si="24">AH$37</f>
        <v>12.2</v>
      </c>
      <c r="AI7" s="7">
        <f t="shared" si="24"/>
        <v>13.5</v>
      </c>
      <c r="AJ7" s="83">
        <f t="shared" ref="AJ7:AJ32" si="25">12/AH7</f>
        <v>0.98360655737704927</v>
      </c>
      <c r="AK7" s="84">
        <f t="shared" ref="AK7:AK32" si="26">12/AI7</f>
        <v>0.88888888888888884</v>
      </c>
      <c r="AL7" s="23">
        <f t="shared" ref="AL7:AM32" si="27">AL$37</f>
        <v>12</v>
      </c>
      <c r="AM7" s="7">
        <f t="shared" si="27"/>
        <v>13.3</v>
      </c>
      <c r="AN7" s="83">
        <f t="shared" ref="AN7:AN32" si="28">12/AL7</f>
        <v>1</v>
      </c>
      <c r="AO7" s="451">
        <f t="shared" ref="AO7:AO32" si="29">12/AM7</f>
        <v>0.90225563909774431</v>
      </c>
      <c r="AP7" s="457">
        <f t="shared" ref="AP7:AQ32" si="30">AP$37</f>
        <v>12.1</v>
      </c>
      <c r="AQ7" s="7">
        <f t="shared" si="30"/>
        <v>12.3</v>
      </c>
      <c r="AR7" s="83">
        <f t="shared" ref="AR7:AR32" si="31">12/AP7</f>
        <v>0.99173553719008267</v>
      </c>
      <c r="AS7" s="84">
        <f t="shared" ref="AS7:AS32" si="32">12/AQ7</f>
        <v>0.97560975609756095</v>
      </c>
      <c r="AT7" s="23">
        <f t="shared" ref="AT7:AU32" si="33">AT$37</f>
        <v>12.1</v>
      </c>
      <c r="AU7" s="7">
        <f t="shared" si="33"/>
        <v>12.3</v>
      </c>
      <c r="AV7" s="83">
        <f t="shared" ref="AV7:AV32" si="34">12/AT7</f>
        <v>0.99173553719008267</v>
      </c>
      <c r="AW7" s="84">
        <f t="shared" ref="AW7:AW32" si="35">12/AU7</f>
        <v>0.97560975609756095</v>
      </c>
      <c r="AX7" s="23">
        <f t="shared" ref="AX7:AY32" si="36">AX$37</f>
        <v>12.1</v>
      </c>
      <c r="AY7" s="7">
        <f t="shared" si="36"/>
        <v>12.3</v>
      </c>
      <c r="AZ7" s="83">
        <f t="shared" ref="AZ7:AZ32" si="37">12/AX7</f>
        <v>0.99173553719008267</v>
      </c>
      <c r="BA7" s="84">
        <f t="shared" ref="BA7:BA32" si="38">12/AY7</f>
        <v>0.97560975609756095</v>
      </c>
      <c r="BB7" s="23">
        <f t="shared" ref="BB7:BC32" si="39">BB$37</f>
        <v>11.9</v>
      </c>
      <c r="BC7" s="7">
        <f t="shared" si="39"/>
        <v>12.1</v>
      </c>
      <c r="BD7" s="83">
        <f t="shared" ref="BD7:BD32" si="40">12/BB7</f>
        <v>1.0084033613445378</v>
      </c>
      <c r="BE7" s="84">
        <f t="shared" ref="BE7:BE32" si="41">12/BC7</f>
        <v>0.99173553719008267</v>
      </c>
      <c r="BF7" s="23">
        <f t="shared" ref="BF7:BG32" si="42">BF$37</f>
        <v>12</v>
      </c>
      <c r="BG7" s="7">
        <f t="shared" si="42"/>
        <v>12.2</v>
      </c>
      <c r="BH7" s="83">
        <f t="shared" ref="BH7:BH32" si="43">12/BF7</f>
        <v>1</v>
      </c>
      <c r="BI7" s="84">
        <f t="shared" ref="BI7:BI32" si="44">12/BG7</f>
        <v>0.98360655737704927</v>
      </c>
      <c r="BJ7" s="23">
        <f t="shared" ref="BJ7:BK32" si="45">BJ$37</f>
        <v>11.8</v>
      </c>
      <c r="BK7" s="7">
        <f t="shared" si="45"/>
        <v>12</v>
      </c>
      <c r="BL7" s="83">
        <f t="shared" ref="BL7:BL32" si="46">12/BJ7</f>
        <v>1.0169491525423728</v>
      </c>
      <c r="BM7" s="84">
        <f t="shared" ref="BM7:BM32" si="47">12/BK7</f>
        <v>1</v>
      </c>
      <c r="BN7" s="23">
        <f t="shared" ref="BN7:BO32" si="48">BN$37</f>
        <v>11.9</v>
      </c>
      <c r="BO7" s="7">
        <f t="shared" si="48"/>
        <v>12.1</v>
      </c>
      <c r="BP7" s="83">
        <f t="shared" ref="BP7:BP32" si="49">12/BN7</f>
        <v>1.0084033613445378</v>
      </c>
      <c r="BQ7" s="84">
        <f t="shared" ref="BQ7:BQ32" si="50">12/BO7</f>
        <v>0.99173553719008267</v>
      </c>
      <c r="BR7" s="23">
        <f t="shared" ref="BR7:BS32" si="51">BR$37</f>
        <v>11.7</v>
      </c>
      <c r="BS7" s="7">
        <f t="shared" si="51"/>
        <v>11.9</v>
      </c>
      <c r="BT7" s="83">
        <f t="shared" ref="BT7:BT32" si="52">12/BR7</f>
        <v>1.0256410256410258</v>
      </c>
      <c r="BU7" s="84">
        <f t="shared" ref="BU7:BU32" si="53">12/BS7</f>
        <v>1.0084033613445378</v>
      </c>
      <c r="BV7" s="23">
        <f t="shared" ref="BV7:BW32" si="54">BV$37</f>
        <v>11.7</v>
      </c>
      <c r="BW7" s="7">
        <f t="shared" si="54"/>
        <v>11.9</v>
      </c>
      <c r="BX7" s="83">
        <f t="shared" ref="BX7:BX32" si="55">12/BV7</f>
        <v>1.0256410256410258</v>
      </c>
      <c r="BY7" s="84">
        <f t="shared" ref="BY7:BY32" si="56">12/BW7</f>
        <v>1.0084033613445378</v>
      </c>
      <c r="BZ7" s="23">
        <f t="shared" ref="BZ7:CA32" si="57">BZ$37</f>
        <v>11.5</v>
      </c>
      <c r="CA7" s="7">
        <f t="shared" si="57"/>
        <v>11.7</v>
      </c>
      <c r="CB7" s="83">
        <f t="shared" ref="CB7:CB32" si="58">12/BZ7</f>
        <v>1.0434782608695652</v>
      </c>
      <c r="CC7" s="84">
        <f t="shared" ref="CC7:CC32" si="59">12/CA7</f>
        <v>1.0256410256410258</v>
      </c>
      <c r="CD7" s="465"/>
      <c r="CE7" s="457">
        <f t="shared" ref="CE7:CE32" si="60">CE$37</f>
        <v>12.2</v>
      </c>
      <c r="CF7" s="23">
        <f t="shared" ref="CF7:CF32" si="61">CE7</f>
        <v>12.2</v>
      </c>
      <c r="CG7" s="7">
        <f t="shared" ref="CG7:CG32" si="62">CG$37</f>
        <v>4.3</v>
      </c>
      <c r="CH7" s="83">
        <f t="shared" ref="CH7:CH32" si="63">12/CE7</f>
        <v>0.98360655737704927</v>
      </c>
      <c r="CI7" s="459">
        <f t="shared" ref="CI7:CI37" si="64">12/CF7</f>
        <v>0.98360655737704927</v>
      </c>
      <c r="CJ7" s="84">
        <f t="shared" ref="CJ7:CJ31" si="65">12/3.412/CG7</f>
        <v>0.8179067041086181</v>
      </c>
      <c r="CK7" s="27">
        <f t="shared" ref="CK7:CK32" si="66">CK$37</f>
        <v>13</v>
      </c>
      <c r="CL7" s="23">
        <f t="shared" ref="CL7:CL32" si="67">CK7</f>
        <v>13</v>
      </c>
      <c r="CM7" s="7">
        <f t="shared" ref="CM7:CM32" si="68">CM$37</f>
        <v>4.3</v>
      </c>
      <c r="CN7" s="83">
        <f t="shared" ref="CN7:CN32" si="69">12/CK7</f>
        <v>0.92307692307692313</v>
      </c>
      <c r="CO7" s="459">
        <f t="shared" ref="CO7:CO37" si="70">12/CL7</f>
        <v>0.92307692307692313</v>
      </c>
      <c r="CP7" s="84">
        <f t="shared" ref="CP7:CP32" si="71">12/3.412/CM7</f>
        <v>0.8179067041086181</v>
      </c>
      <c r="CQ7" s="27">
        <f t="shared" ref="CQ7:CQ32" si="72">CQ$37</f>
        <v>13</v>
      </c>
      <c r="CR7" s="23">
        <f t="shared" ref="CR7:CR32" si="73">CQ7</f>
        <v>13</v>
      </c>
      <c r="CS7" s="7">
        <f t="shared" ref="CS7:CS32" si="74">CS$37</f>
        <v>4.3</v>
      </c>
      <c r="CT7" s="83">
        <f t="shared" ref="CT7:CT32" si="75">12/CQ7</f>
        <v>0.92307692307692313</v>
      </c>
      <c r="CU7" s="459">
        <f t="shared" ref="CU7:CU37" si="76">12/CR7</f>
        <v>0.92307692307692313</v>
      </c>
      <c r="CV7" s="84">
        <f t="shared" ref="CV7:CV32" si="77">12/3.412/CS7</f>
        <v>0.8179067041086181</v>
      </c>
      <c r="CW7" s="27">
        <f t="shared" ref="CW7:CW32" si="78">CW$37</f>
        <v>18</v>
      </c>
      <c r="CX7" s="23">
        <f t="shared" ref="CX7:CX32" si="79">CW7</f>
        <v>18</v>
      </c>
      <c r="CY7" s="7">
        <f t="shared" ref="CY7:CY32" si="80">CY$37</f>
        <v>3.7</v>
      </c>
      <c r="CZ7" s="83">
        <f t="shared" ref="CZ7:CZ32" si="81">12/CW7</f>
        <v>0.66666666666666663</v>
      </c>
      <c r="DA7" s="459">
        <f t="shared" ref="DA7:DA37" si="82">12/CX7</f>
        <v>0.66666666666666663</v>
      </c>
      <c r="DB7" s="84">
        <f t="shared" ref="DB7:DB32" si="83">12/3.412/CY7</f>
        <v>0.95054022369379931</v>
      </c>
      <c r="DC7" s="27">
        <f t="shared" ref="DC7:DC32" si="84">DC$37</f>
        <v>18</v>
      </c>
      <c r="DD7" s="23">
        <f t="shared" ref="DD7:DD32" si="85">DC7</f>
        <v>18</v>
      </c>
      <c r="DE7" s="7">
        <f t="shared" ref="DE7:DE32" si="86">DE$37</f>
        <v>3.7</v>
      </c>
      <c r="DF7" s="83">
        <f t="shared" ref="DF7:DF32" si="87">12/DC7</f>
        <v>0.66666666666666663</v>
      </c>
      <c r="DG7" s="459">
        <f t="shared" ref="DG7:DG37" si="88">12/DD7</f>
        <v>0.66666666666666663</v>
      </c>
      <c r="DH7" s="84">
        <f t="shared" ref="DH7:DH32" si="89">12/3.412/DE7</f>
        <v>0.95054022369379931</v>
      </c>
      <c r="DI7" s="27">
        <f t="shared" ref="DI7:DI32" si="90">DI$37</f>
        <v>14.1</v>
      </c>
      <c r="DJ7" s="23">
        <f t="shared" ref="DJ7:DJ32" si="91">DI7</f>
        <v>14.1</v>
      </c>
      <c r="DK7" s="7">
        <f t="shared" ref="DK7:DK32" si="92">DK$37</f>
        <v>3.2</v>
      </c>
      <c r="DL7" s="83">
        <f t="shared" ref="DL7:DL32" si="93">12/DI7</f>
        <v>0.85106382978723405</v>
      </c>
      <c r="DM7" s="459">
        <f t="shared" ref="DM7:DM37" si="94">12/DJ7</f>
        <v>0.85106382978723405</v>
      </c>
      <c r="DN7" s="84">
        <f t="shared" ref="DN7:DN32" si="95">12/3.412/DK7</f>
        <v>1.0990621336459554</v>
      </c>
      <c r="DO7" s="27">
        <f t="shared" ref="DO7:DO32" si="96">DO$37</f>
        <v>14.1</v>
      </c>
      <c r="DP7" s="23">
        <f t="shared" ref="DP7:DP32" si="97">DO7</f>
        <v>14.1</v>
      </c>
      <c r="DQ7" s="7">
        <f t="shared" ref="DQ7:DQ32" si="98">DQ$37</f>
        <v>3.2</v>
      </c>
      <c r="DR7" s="83">
        <f t="shared" ref="DR7:DR32" si="99">12/DO7</f>
        <v>0.85106382978723405</v>
      </c>
      <c r="DS7" s="459">
        <f t="shared" ref="DS7:DS37" si="100">12/DP7</f>
        <v>0.85106382978723405</v>
      </c>
      <c r="DT7" s="84">
        <f t="shared" ref="DT7:DT32" si="101">12/3.412/DQ7</f>
        <v>1.0990621336459554</v>
      </c>
      <c r="DU7" s="27">
        <f t="shared" ref="DU7:DU32" si="102">DU$37</f>
        <v>10.6</v>
      </c>
      <c r="DV7" s="23">
        <f t="shared" ref="DV7:DV32" si="103">DU7</f>
        <v>10.6</v>
      </c>
      <c r="DW7" s="7">
        <f t="shared" ref="DW7:DW32" si="104">DW$37</f>
        <v>3.7</v>
      </c>
      <c r="DX7" s="83">
        <f t="shared" ref="DX7:DX32" si="105">12/DU7</f>
        <v>1.1320754716981132</v>
      </c>
      <c r="DY7" s="459">
        <f t="shared" ref="DY7:DY37" si="106">12/DV7</f>
        <v>1.1320754716981132</v>
      </c>
      <c r="DZ7" s="84">
        <f t="shared" ref="DZ7:DZ32" si="107">12/3.412/DW7</f>
        <v>0.95054022369379931</v>
      </c>
      <c r="EA7" s="27">
        <f t="shared" ref="EA7:EA32" si="108">EA$37</f>
        <v>10.6</v>
      </c>
      <c r="EB7" s="23">
        <f t="shared" ref="EB7:EB32" si="109">EA7</f>
        <v>10.6</v>
      </c>
      <c r="EC7" s="7">
        <f t="shared" ref="EC7:EC32" si="110">EC$37</f>
        <v>3.7</v>
      </c>
      <c r="ED7" s="83">
        <f t="shared" ref="ED7:ED32" si="111">12/EA7</f>
        <v>1.1320754716981132</v>
      </c>
      <c r="EE7" s="459">
        <f t="shared" ref="EE7:EE37" si="112">12/EB7</f>
        <v>1.1320754716981132</v>
      </c>
      <c r="EF7" s="84">
        <f t="shared" ref="EF7:EF32" si="113">12/3.412/EC7</f>
        <v>0.95054022369379931</v>
      </c>
      <c r="EG7" s="27">
        <f t="shared" ref="EG7:EG32" si="114">EG$37</f>
        <v>16.3</v>
      </c>
      <c r="EH7" s="23">
        <f t="shared" ref="EH7:EH32" si="115">EG7</f>
        <v>16.3</v>
      </c>
      <c r="EI7" s="7">
        <f t="shared" ref="EI7:EI32" si="116">EI$37</f>
        <v>3.1</v>
      </c>
      <c r="EJ7" s="83">
        <f t="shared" ref="EJ7:EJ32" si="117">12/EG7</f>
        <v>0.73619631901840488</v>
      </c>
      <c r="EK7" s="459">
        <f t="shared" ref="EK7:EK37" si="118">12/EH7</f>
        <v>0.73619631901840488</v>
      </c>
      <c r="EL7" s="84">
        <f t="shared" ref="EL7:EL32" si="119">12/3.412/EI7</f>
        <v>1.1345157508603412</v>
      </c>
      <c r="EM7" s="27">
        <f t="shared" ref="EM7:EM32" si="120">EM$37</f>
        <v>16.3</v>
      </c>
      <c r="EN7" s="23">
        <f t="shared" ref="EN7:EN32" si="121">EM7</f>
        <v>16.3</v>
      </c>
      <c r="EO7" s="7">
        <f t="shared" ref="EO7:EO32" si="122">EO$37</f>
        <v>3.1</v>
      </c>
      <c r="EP7" s="83">
        <f t="shared" ref="EP7:EP32" si="123">12/EM7</f>
        <v>0.73619631901840488</v>
      </c>
      <c r="EQ7" s="459">
        <f t="shared" ref="EQ7:EQ37" si="124">12/EN7</f>
        <v>0.73619631901840488</v>
      </c>
      <c r="ER7" s="84">
        <f t="shared" ref="ER7:ER32" si="125">12/3.412/EO7</f>
        <v>1.1345157508603412</v>
      </c>
      <c r="ES7" s="27">
        <f t="shared" ref="ES7:ES32" si="126">ES$37</f>
        <v>12.1</v>
      </c>
      <c r="ET7" s="23">
        <f t="shared" ref="ET7:ET32" si="127">ES7</f>
        <v>12.1</v>
      </c>
      <c r="EU7" s="7">
        <f t="shared" ref="EU7:EU32" si="128">EU$37</f>
        <v>2.5</v>
      </c>
      <c r="EV7" s="83">
        <f t="shared" ref="EV7:EV32" si="129">12/ES7</f>
        <v>0.99173553719008267</v>
      </c>
      <c r="EW7" s="459">
        <f t="shared" ref="EW7:EW37" si="130">12/ET7</f>
        <v>0.99173553719008267</v>
      </c>
      <c r="EX7" s="84">
        <f t="shared" ref="EX7:EX32" si="131">12/3.412/EU7</f>
        <v>1.4067995310668231</v>
      </c>
      <c r="EY7" s="27">
        <f t="shared" ref="EY7:EY32" si="132">EY$37</f>
        <v>12.1</v>
      </c>
      <c r="EZ7" s="23">
        <f t="shared" ref="EZ7:EZ32" si="133">EY7</f>
        <v>12.1</v>
      </c>
      <c r="FA7" s="7">
        <f t="shared" ref="FA7:FA32" si="134">FA$37</f>
        <v>2.5</v>
      </c>
      <c r="FB7" s="83">
        <f t="shared" ref="FB7:FB32" si="135">12/EY7</f>
        <v>0.99173553719008267</v>
      </c>
      <c r="FC7" s="459">
        <f t="shared" ref="FC7:FC37" si="136">12/EZ7</f>
        <v>0.99173553719008267</v>
      </c>
      <c r="FD7" s="84">
        <f t="shared" ref="FD7:FD32" si="137">12/3.412/FA7</f>
        <v>1.4067995310668231</v>
      </c>
      <c r="FE7" s="12"/>
    </row>
    <row r="8" spans="1:161" x14ac:dyDescent="0.25">
      <c r="A8" s="26">
        <v>1998</v>
      </c>
      <c r="B8" s="23">
        <f t="shared" si="0"/>
        <v>12.1</v>
      </c>
      <c r="C8" s="7">
        <f t="shared" si="0"/>
        <v>12.3</v>
      </c>
      <c r="D8" s="83">
        <f t="shared" si="1"/>
        <v>0.99173553719008267</v>
      </c>
      <c r="E8" s="84">
        <f t="shared" si="2"/>
        <v>0.97560975609756095</v>
      </c>
      <c r="F8" s="23">
        <f t="shared" si="3"/>
        <v>12.1</v>
      </c>
      <c r="G8" s="7">
        <f t="shared" si="3"/>
        <v>12.3</v>
      </c>
      <c r="H8" s="83">
        <f t="shared" si="4"/>
        <v>0.99173553719008267</v>
      </c>
      <c r="I8" s="84">
        <f t="shared" si="5"/>
        <v>0.97560975609756095</v>
      </c>
      <c r="J8" s="23">
        <f t="shared" si="6"/>
        <v>12.1</v>
      </c>
      <c r="K8" s="7">
        <f t="shared" si="6"/>
        <v>13.9</v>
      </c>
      <c r="L8" s="83">
        <f t="shared" si="7"/>
        <v>0.99173553719008267</v>
      </c>
      <c r="M8" s="84">
        <f t="shared" si="8"/>
        <v>0.86330935251798557</v>
      </c>
      <c r="N8" s="23">
        <f t="shared" si="9"/>
        <v>11.9</v>
      </c>
      <c r="O8" s="7">
        <f t="shared" si="9"/>
        <v>13.7</v>
      </c>
      <c r="P8" s="83">
        <f t="shared" si="10"/>
        <v>1.0084033613445378</v>
      </c>
      <c r="Q8" s="84">
        <f t="shared" si="11"/>
        <v>0.87591240875912413</v>
      </c>
      <c r="R8" s="23">
        <f t="shared" si="12"/>
        <v>12.5</v>
      </c>
      <c r="S8" s="7">
        <f t="shared" si="12"/>
        <v>13.9</v>
      </c>
      <c r="T8" s="83">
        <f t="shared" si="13"/>
        <v>0.96</v>
      </c>
      <c r="U8" s="84">
        <f t="shared" si="14"/>
        <v>0.86330935251798557</v>
      </c>
      <c r="V8" s="23">
        <f t="shared" si="15"/>
        <v>12.3</v>
      </c>
      <c r="W8" s="7">
        <f t="shared" si="15"/>
        <v>13.7</v>
      </c>
      <c r="X8" s="83">
        <f t="shared" si="16"/>
        <v>0.97560975609756095</v>
      </c>
      <c r="Y8" s="84">
        <f t="shared" si="17"/>
        <v>0.87591240875912413</v>
      </c>
      <c r="Z8" s="23">
        <f t="shared" si="18"/>
        <v>12.4</v>
      </c>
      <c r="AA8" s="7">
        <f t="shared" si="18"/>
        <v>13.6</v>
      </c>
      <c r="AB8" s="83">
        <f t="shared" si="19"/>
        <v>0.96774193548387089</v>
      </c>
      <c r="AC8" s="84">
        <f t="shared" si="20"/>
        <v>0.88235294117647056</v>
      </c>
      <c r="AD8" s="23">
        <f t="shared" si="21"/>
        <v>12.2</v>
      </c>
      <c r="AE8" s="7">
        <f t="shared" si="21"/>
        <v>13.4</v>
      </c>
      <c r="AF8" s="83">
        <f t="shared" si="22"/>
        <v>0.98360655737704927</v>
      </c>
      <c r="AG8" s="84">
        <f t="shared" si="23"/>
        <v>0.89552238805970152</v>
      </c>
      <c r="AH8" s="23">
        <f t="shared" si="24"/>
        <v>12.2</v>
      </c>
      <c r="AI8" s="7">
        <f t="shared" si="24"/>
        <v>13.5</v>
      </c>
      <c r="AJ8" s="83">
        <f t="shared" si="25"/>
        <v>0.98360655737704927</v>
      </c>
      <c r="AK8" s="84">
        <f t="shared" si="26"/>
        <v>0.88888888888888884</v>
      </c>
      <c r="AL8" s="23">
        <f t="shared" si="27"/>
        <v>12</v>
      </c>
      <c r="AM8" s="7">
        <f t="shared" si="27"/>
        <v>13.3</v>
      </c>
      <c r="AN8" s="83">
        <f t="shared" si="28"/>
        <v>1</v>
      </c>
      <c r="AO8" s="451">
        <f t="shared" si="29"/>
        <v>0.90225563909774431</v>
      </c>
      <c r="AP8" s="457">
        <f t="shared" si="30"/>
        <v>12.1</v>
      </c>
      <c r="AQ8" s="7">
        <f t="shared" si="30"/>
        <v>12.3</v>
      </c>
      <c r="AR8" s="83">
        <f t="shared" si="31"/>
        <v>0.99173553719008267</v>
      </c>
      <c r="AS8" s="84">
        <f t="shared" si="32"/>
        <v>0.97560975609756095</v>
      </c>
      <c r="AT8" s="23">
        <f t="shared" si="33"/>
        <v>12.1</v>
      </c>
      <c r="AU8" s="7">
        <f t="shared" si="33"/>
        <v>12.3</v>
      </c>
      <c r="AV8" s="83">
        <f t="shared" si="34"/>
        <v>0.99173553719008267</v>
      </c>
      <c r="AW8" s="84">
        <f t="shared" si="35"/>
        <v>0.97560975609756095</v>
      </c>
      <c r="AX8" s="23">
        <f t="shared" si="36"/>
        <v>12.1</v>
      </c>
      <c r="AY8" s="7">
        <f t="shared" si="36"/>
        <v>12.3</v>
      </c>
      <c r="AZ8" s="83">
        <f t="shared" si="37"/>
        <v>0.99173553719008267</v>
      </c>
      <c r="BA8" s="84">
        <f t="shared" si="38"/>
        <v>0.97560975609756095</v>
      </c>
      <c r="BB8" s="23">
        <f t="shared" si="39"/>
        <v>11.9</v>
      </c>
      <c r="BC8" s="7">
        <f t="shared" si="39"/>
        <v>12.1</v>
      </c>
      <c r="BD8" s="83">
        <f t="shared" si="40"/>
        <v>1.0084033613445378</v>
      </c>
      <c r="BE8" s="84">
        <f t="shared" si="41"/>
        <v>0.99173553719008267</v>
      </c>
      <c r="BF8" s="23">
        <f t="shared" si="42"/>
        <v>12</v>
      </c>
      <c r="BG8" s="7">
        <f t="shared" si="42"/>
        <v>12.2</v>
      </c>
      <c r="BH8" s="83">
        <f t="shared" si="43"/>
        <v>1</v>
      </c>
      <c r="BI8" s="84">
        <f t="shared" si="44"/>
        <v>0.98360655737704927</v>
      </c>
      <c r="BJ8" s="23">
        <f t="shared" si="45"/>
        <v>11.8</v>
      </c>
      <c r="BK8" s="7">
        <f t="shared" si="45"/>
        <v>12</v>
      </c>
      <c r="BL8" s="83">
        <f t="shared" si="46"/>
        <v>1.0169491525423728</v>
      </c>
      <c r="BM8" s="84">
        <f t="shared" si="47"/>
        <v>1</v>
      </c>
      <c r="BN8" s="23">
        <f t="shared" si="48"/>
        <v>11.9</v>
      </c>
      <c r="BO8" s="7">
        <f t="shared" si="48"/>
        <v>12.1</v>
      </c>
      <c r="BP8" s="83">
        <f t="shared" si="49"/>
        <v>1.0084033613445378</v>
      </c>
      <c r="BQ8" s="84">
        <f t="shared" si="50"/>
        <v>0.99173553719008267</v>
      </c>
      <c r="BR8" s="23">
        <f t="shared" si="51"/>
        <v>11.7</v>
      </c>
      <c r="BS8" s="7">
        <f t="shared" si="51"/>
        <v>11.9</v>
      </c>
      <c r="BT8" s="83">
        <f t="shared" si="52"/>
        <v>1.0256410256410258</v>
      </c>
      <c r="BU8" s="84">
        <f t="shared" si="53"/>
        <v>1.0084033613445378</v>
      </c>
      <c r="BV8" s="23">
        <f t="shared" si="54"/>
        <v>11.7</v>
      </c>
      <c r="BW8" s="7">
        <f t="shared" si="54"/>
        <v>11.9</v>
      </c>
      <c r="BX8" s="83">
        <f t="shared" si="55"/>
        <v>1.0256410256410258</v>
      </c>
      <c r="BY8" s="84">
        <f t="shared" si="56"/>
        <v>1.0084033613445378</v>
      </c>
      <c r="BZ8" s="23">
        <f t="shared" si="57"/>
        <v>11.5</v>
      </c>
      <c r="CA8" s="7">
        <f t="shared" si="57"/>
        <v>11.7</v>
      </c>
      <c r="CB8" s="83">
        <f t="shared" si="58"/>
        <v>1.0434782608695652</v>
      </c>
      <c r="CC8" s="84">
        <f t="shared" si="59"/>
        <v>1.0256410256410258</v>
      </c>
      <c r="CD8" s="465"/>
      <c r="CE8" s="457">
        <f t="shared" si="60"/>
        <v>12.2</v>
      </c>
      <c r="CF8" s="23">
        <f t="shared" si="61"/>
        <v>12.2</v>
      </c>
      <c r="CG8" s="7">
        <f t="shared" si="62"/>
        <v>4.3</v>
      </c>
      <c r="CH8" s="83">
        <f t="shared" si="63"/>
        <v>0.98360655737704927</v>
      </c>
      <c r="CI8" s="459">
        <f t="shared" si="64"/>
        <v>0.98360655737704927</v>
      </c>
      <c r="CJ8" s="84">
        <f t="shared" si="65"/>
        <v>0.8179067041086181</v>
      </c>
      <c r="CK8" s="27">
        <f t="shared" si="66"/>
        <v>13</v>
      </c>
      <c r="CL8" s="23">
        <f t="shared" si="67"/>
        <v>13</v>
      </c>
      <c r="CM8" s="7">
        <f t="shared" si="68"/>
        <v>4.3</v>
      </c>
      <c r="CN8" s="83">
        <f t="shared" si="69"/>
        <v>0.92307692307692313</v>
      </c>
      <c r="CO8" s="459">
        <f t="shared" si="70"/>
        <v>0.92307692307692313</v>
      </c>
      <c r="CP8" s="84">
        <f t="shared" si="71"/>
        <v>0.8179067041086181</v>
      </c>
      <c r="CQ8" s="27">
        <f t="shared" si="72"/>
        <v>13</v>
      </c>
      <c r="CR8" s="23">
        <f t="shared" si="73"/>
        <v>13</v>
      </c>
      <c r="CS8" s="7">
        <f t="shared" si="74"/>
        <v>4.3</v>
      </c>
      <c r="CT8" s="83">
        <f t="shared" si="75"/>
        <v>0.92307692307692313</v>
      </c>
      <c r="CU8" s="459">
        <f t="shared" si="76"/>
        <v>0.92307692307692313</v>
      </c>
      <c r="CV8" s="84">
        <f t="shared" si="77"/>
        <v>0.8179067041086181</v>
      </c>
      <c r="CW8" s="27">
        <f t="shared" si="78"/>
        <v>18</v>
      </c>
      <c r="CX8" s="23">
        <f t="shared" si="79"/>
        <v>18</v>
      </c>
      <c r="CY8" s="7">
        <f t="shared" si="80"/>
        <v>3.7</v>
      </c>
      <c r="CZ8" s="83">
        <f t="shared" si="81"/>
        <v>0.66666666666666663</v>
      </c>
      <c r="DA8" s="459">
        <f t="shared" si="82"/>
        <v>0.66666666666666663</v>
      </c>
      <c r="DB8" s="84">
        <f t="shared" si="83"/>
        <v>0.95054022369379931</v>
      </c>
      <c r="DC8" s="27">
        <f t="shared" si="84"/>
        <v>18</v>
      </c>
      <c r="DD8" s="23">
        <f t="shared" si="85"/>
        <v>18</v>
      </c>
      <c r="DE8" s="7">
        <f t="shared" si="86"/>
        <v>3.7</v>
      </c>
      <c r="DF8" s="83">
        <f t="shared" si="87"/>
        <v>0.66666666666666663</v>
      </c>
      <c r="DG8" s="459">
        <f t="shared" si="88"/>
        <v>0.66666666666666663</v>
      </c>
      <c r="DH8" s="84">
        <f t="shared" si="89"/>
        <v>0.95054022369379931</v>
      </c>
      <c r="DI8" s="27">
        <f t="shared" si="90"/>
        <v>14.1</v>
      </c>
      <c r="DJ8" s="23">
        <f t="shared" si="91"/>
        <v>14.1</v>
      </c>
      <c r="DK8" s="7">
        <f t="shared" si="92"/>
        <v>3.2</v>
      </c>
      <c r="DL8" s="83">
        <f t="shared" si="93"/>
        <v>0.85106382978723405</v>
      </c>
      <c r="DM8" s="459">
        <f t="shared" si="94"/>
        <v>0.85106382978723405</v>
      </c>
      <c r="DN8" s="84">
        <f t="shared" si="95"/>
        <v>1.0990621336459554</v>
      </c>
      <c r="DO8" s="27">
        <f t="shared" si="96"/>
        <v>14.1</v>
      </c>
      <c r="DP8" s="23">
        <f t="shared" si="97"/>
        <v>14.1</v>
      </c>
      <c r="DQ8" s="7">
        <f t="shared" si="98"/>
        <v>3.2</v>
      </c>
      <c r="DR8" s="83">
        <f t="shared" si="99"/>
        <v>0.85106382978723405</v>
      </c>
      <c r="DS8" s="459">
        <f t="shared" si="100"/>
        <v>0.85106382978723405</v>
      </c>
      <c r="DT8" s="84">
        <f t="shared" si="101"/>
        <v>1.0990621336459554</v>
      </c>
      <c r="DU8" s="27">
        <f t="shared" si="102"/>
        <v>10.6</v>
      </c>
      <c r="DV8" s="23">
        <f t="shared" si="103"/>
        <v>10.6</v>
      </c>
      <c r="DW8" s="7">
        <f t="shared" si="104"/>
        <v>3.7</v>
      </c>
      <c r="DX8" s="83">
        <f t="shared" si="105"/>
        <v>1.1320754716981132</v>
      </c>
      <c r="DY8" s="459">
        <f t="shared" si="106"/>
        <v>1.1320754716981132</v>
      </c>
      <c r="DZ8" s="84">
        <f t="shared" si="107"/>
        <v>0.95054022369379931</v>
      </c>
      <c r="EA8" s="27">
        <f t="shared" si="108"/>
        <v>10.6</v>
      </c>
      <c r="EB8" s="23">
        <f t="shared" si="109"/>
        <v>10.6</v>
      </c>
      <c r="EC8" s="7">
        <f t="shared" si="110"/>
        <v>3.7</v>
      </c>
      <c r="ED8" s="83">
        <f t="shared" si="111"/>
        <v>1.1320754716981132</v>
      </c>
      <c r="EE8" s="459">
        <f t="shared" si="112"/>
        <v>1.1320754716981132</v>
      </c>
      <c r="EF8" s="84">
        <f t="shared" si="113"/>
        <v>0.95054022369379931</v>
      </c>
      <c r="EG8" s="27">
        <f t="shared" si="114"/>
        <v>16.3</v>
      </c>
      <c r="EH8" s="23">
        <f t="shared" si="115"/>
        <v>16.3</v>
      </c>
      <c r="EI8" s="7">
        <f t="shared" si="116"/>
        <v>3.1</v>
      </c>
      <c r="EJ8" s="83">
        <f t="shared" si="117"/>
        <v>0.73619631901840488</v>
      </c>
      <c r="EK8" s="459">
        <f t="shared" si="118"/>
        <v>0.73619631901840488</v>
      </c>
      <c r="EL8" s="84">
        <f t="shared" si="119"/>
        <v>1.1345157508603412</v>
      </c>
      <c r="EM8" s="27">
        <f t="shared" si="120"/>
        <v>16.3</v>
      </c>
      <c r="EN8" s="23">
        <f t="shared" si="121"/>
        <v>16.3</v>
      </c>
      <c r="EO8" s="7">
        <f t="shared" si="122"/>
        <v>3.1</v>
      </c>
      <c r="EP8" s="83">
        <f t="shared" si="123"/>
        <v>0.73619631901840488</v>
      </c>
      <c r="EQ8" s="459">
        <f t="shared" si="124"/>
        <v>0.73619631901840488</v>
      </c>
      <c r="ER8" s="84">
        <f t="shared" si="125"/>
        <v>1.1345157508603412</v>
      </c>
      <c r="ES8" s="27">
        <f t="shared" si="126"/>
        <v>12.1</v>
      </c>
      <c r="ET8" s="23">
        <f t="shared" si="127"/>
        <v>12.1</v>
      </c>
      <c r="EU8" s="7">
        <f t="shared" si="128"/>
        <v>2.5</v>
      </c>
      <c r="EV8" s="83">
        <f t="shared" si="129"/>
        <v>0.99173553719008267</v>
      </c>
      <c r="EW8" s="459">
        <f t="shared" si="130"/>
        <v>0.99173553719008267</v>
      </c>
      <c r="EX8" s="84">
        <f t="shared" si="131"/>
        <v>1.4067995310668231</v>
      </c>
      <c r="EY8" s="27">
        <f t="shared" si="132"/>
        <v>12.1</v>
      </c>
      <c r="EZ8" s="23">
        <f t="shared" si="133"/>
        <v>12.1</v>
      </c>
      <c r="FA8" s="7">
        <f t="shared" si="134"/>
        <v>2.5</v>
      </c>
      <c r="FB8" s="83">
        <f t="shared" si="135"/>
        <v>0.99173553719008267</v>
      </c>
      <c r="FC8" s="459">
        <f t="shared" si="136"/>
        <v>0.99173553719008267</v>
      </c>
      <c r="FD8" s="84">
        <f t="shared" si="137"/>
        <v>1.4067995310668231</v>
      </c>
      <c r="FE8" s="12"/>
    </row>
    <row r="9" spans="1:161" x14ac:dyDescent="0.25">
      <c r="A9" s="26">
        <v>1999</v>
      </c>
      <c r="B9" s="23">
        <f t="shared" si="0"/>
        <v>12.1</v>
      </c>
      <c r="C9" s="7">
        <f t="shared" si="0"/>
        <v>12.3</v>
      </c>
      <c r="D9" s="83">
        <f t="shared" si="1"/>
        <v>0.99173553719008267</v>
      </c>
      <c r="E9" s="84">
        <f t="shared" si="2"/>
        <v>0.97560975609756095</v>
      </c>
      <c r="F9" s="23">
        <f t="shared" si="3"/>
        <v>12.1</v>
      </c>
      <c r="G9" s="7">
        <f t="shared" si="3"/>
        <v>12.3</v>
      </c>
      <c r="H9" s="83">
        <f t="shared" si="4"/>
        <v>0.99173553719008267</v>
      </c>
      <c r="I9" s="84">
        <f t="shared" si="5"/>
        <v>0.97560975609756095</v>
      </c>
      <c r="J9" s="23">
        <f t="shared" si="6"/>
        <v>12.1</v>
      </c>
      <c r="K9" s="7">
        <f t="shared" si="6"/>
        <v>13.9</v>
      </c>
      <c r="L9" s="83">
        <f t="shared" si="7"/>
        <v>0.99173553719008267</v>
      </c>
      <c r="M9" s="84">
        <f t="shared" si="8"/>
        <v>0.86330935251798557</v>
      </c>
      <c r="N9" s="23">
        <f t="shared" si="9"/>
        <v>11.9</v>
      </c>
      <c r="O9" s="7">
        <f t="shared" si="9"/>
        <v>13.7</v>
      </c>
      <c r="P9" s="83">
        <f t="shared" si="10"/>
        <v>1.0084033613445378</v>
      </c>
      <c r="Q9" s="84">
        <f t="shared" si="11"/>
        <v>0.87591240875912413</v>
      </c>
      <c r="R9" s="23">
        <f t="shared" si="12"/>
        <v>12.5</v>
      </c>
      <c r="S9" s="7">
        <f t="shared" si="12"/>
        <v>13.9</v>
      </c>
      <c r="T9" s="83">
        <f t="shared" si="13"/>
        <v>0.96</v>
      </c>
      <c r="U9" s="84">
        <f t="shared" si="14"/>
        <v>0.86330935251798557</v>
      </c>
      <c r="V9" s="23">
        <f t="shared" si="15"/>
        <v>12.3</v>
      </c>
      <c r="W9" s="7">
        <f t="shared" si="15"/>
        <v>13.7</v>
      </c>
      <c r="X9" s="83">
        <f t="shared" si="16"/>
        <v>0.97560975609756095</v>
      </c>
      <c r="Y9" s="84">
        <f t="shared" si="17"/>
        <v>0.87591240875912413</v>
      </c>
      <c r="Z9" s="23">
        <f t="shared" si="18"/>
        <v>12.4</v>
      </c>
      <c r="AA9" s="7">
        <f t="shared" si="18"/>
        <v>13.6</v>
      </c>
      <c r="AB9" s="83">
        <f t="shared" si="19"/>
        <v>0.96774193548387089</v>
      </c>
      <c r="AC9" s="84">
        <f t="shared" si="20"/>
        <v>0.88235294117647056</v>
      </c>
      <c r="AD9" s="23">
        <f t="shared" si="21"/>
        <v>12.2</v>
      </c>
      <c r="AE9" s="7">
        <f t="shared" si="21"/>
        <v>13.4</v>
      </c>
      <c r="AF9" s="83">
        <f t="shared" si="22"/>
        <v>0.98360655737704927</v>
      </c>
      <c r="AG9" s="84">
        <f t="shared" si="23"/>
        <v>0.89552238805970152</v>
      </c>
      <c r="AH9" s="23">
        <f t="shared" si="24"/>
        <v>12.2</v>
      </c>
      <c r="AI9" s="7">
        <f t="shared" si="24"/>
        <v>13.5</v>
      </c>
      <c r="AJ9" s="83">
        <f t="shared" si="25"/>
        <v>0.98360655737704927</v>
      </c>
      <c r="AK9" s="84">
        <f t="shared" si="26"/>
        <v>0.88888888888888884</v>
      </c>
      <c r="AL9" s="23">
        <f t="shared" si="27"/>
        <v>12</v>
      </c>
      <c r="AM9" s="7">
        <f t="shared" si="27"/>
        <v>13.3</v>
      </c>
      <c r="AN9" s="83">
        <f t="shared" si="28"/>
        <v>1</v>
      </c>
      <c r="AO9" s="451">
        <f t="shared" si="29"/>
        <v>0.90225563909774431</v>
      </c>
      <c r="AP9" s="457">
        <f t="shared" si="30"/>
        <v>12.1</v>
      </c>
      <c r="AQ9" s="7">
        <f t="shared" si="30"/>
        <v>12.3</v>
      </c>
      <c r="AR9" s="83">
        <f t="shared" si="31"/>
        <v>0.99173553719008267</v>
      </c>
      <c r="AS9" s="84">
        <f t="shared" si="32"/>
        <v>0.97560975609756095</v>
      </c>
      <c r="AT9" s="23">
        <f t="shared" si="33"/>
        <v>12.1</v>
      </c>
      <c r="AU9" s="7">
        <f t="shared" si="33"/>
        <v>12.3</v>
      </c>
      <c r="AV9" s="83">
        <f t="shared" si="34"/>
        <v>0.99173553719008267</v>
      </c>
      <c r="AW9" s="84">
        <f t="shared" si="35"/>
        <v>0.97560975609756095</v>
      </c>
      <c r="AX9" s="23">
        <f t="shared" si="36"/>
        <v>12.1</v>
      </c>
      <c r="AY9" s="7">
        <f t="shared" si="36"/>
        <v>12.3</v>
      </c>
      <c r="AZ9" s="83">
        <f t="shared" si="37"/>
        <v>0.99173553719008267</v>
      </c>
      <c r="BA9" s="84">
        <f t="shared" si="38"/>
        <v>0.97560975609756095</v>
      </c>
      <c r="BB9" s="23">
        <f t="shared" si="39"/>
        <v>11.9</v>
      </c>
      <c r="BC9" s="7">
        <f t="shared" si="39"/>
        <v>12.1</v>
      </c>
      <c r="BD9" s="83">
        <f t="shared" si="40"/>
        <v>1.0084033613445378</v>
      </c>
      <c r="BE9" s="84">
        <f t="shared" si="41"/>
        <v>0.99173553719008267</v>
      </c>
      <c r="BF9" s="23">
        <f t="shared" si="42"/>
        <v>12</v>
      </c>
      <c r="BG9" s="7">
        <f t="shared" si="42"/>
        <v>12.2</v>
      </c>
      <c r="BH9" s="83">
        <f t="shared" si="43"/>
        <v>1</v>
      </c>
      <c r="BI9" s="84">
        <f t="shared" si="44"/>
        <v>0.98360655737704927</v>
      </c>
      <c r="BJ9" s="23">
        <f t="shared" si="45"/>
        <v>11.8</v>
      </c>
      <c r="BK9" s="7">
        <f t="shared" si="45"/>
        <v>12</v>
      </c>
      <c r="BL9" s="83">
        <f t="shared" si="46"/>
        <v>1.0169491525423728</v>
      </c>
      <c r="BM9" s="84">
        <f t="shared" si="47"/>
        <v>1</v>
      </c>
      <c r="BN9" s="23">
        <f t="shared" si="48"/>
        <v>11.9</v>
      </c>
      <c r="BO9" s="7">
        <f t="shared" si="48"/>
        <v>12.1</v>
      </c>
      <c r="BP9" s="83">
        <f t="shared" si="49"/>
        <v>1.0084033613445378</v>
      </c>
      <c r="BQ9" s="84">
        <f t="shared" si="50"/>
        <v>0.99173553719008267</v>
      </c>
      <c r="BR9" s="23">
        <f t="shared" si="51"/>
        <v>11.7</v>
      </c>
      <c r="BS9" s="7">
        <f t="shared" si="51"/>
        <v>11.9</v>
      </c>
      <c r="BT9" s="83">
        <f t="shared" si="52"/>
        <v>1.0256410256410258</v>
      </c>
      <c r="BU9" s="84">
        <f t="shared" si="53"/>
        <v>1.0084033613445378</v>
      </c>
      <c r="BV9" s="23">
        <f t="shared" si="54"/>
        <v>11.7</v>
      </c>
      <c r="BW9" s="7">
        <f t="shared" si="54"/>
        <v>11.9</v>
      </c>
      <c r="BX9" s="83">
        <f t="shared" si="55"/>
        <v>1.0256410256410258</v>
      </c>
      <c r="BY9" s="84">
        <f t="shared" si="56"/>
        <v>1.0084033613445378</v>
      </c>
      <c r="BZ9" s="23">
        <f t="shared" si="57"/>
        <v>11.5</v>
      </c>
      <c r="CA9" s="7">
        <f t="shared" si="57"/>
        <v>11.7</v>
      </c>
      <c r="CB9" s="83">
        <f t="shared" si="58"/>
        <v>1.0434782608695652</v>
      </c>
      <c r="CC9" s="84">
        <f t="shared" si="59"/>
        <v>1.0256410256410258</v>
      </c>
      <c r="CD9" s="465"/>
      <c r="CE9" s="457">
        <f t="shared" si="60"/>
        <v>12.2</v>
      </c>
      <c r="CF9" s="23">
        <f t="shared" si="61"/>
        <v>12.2</v>
      </c>
      <c r="CG9" s="7">
        <f t="shared" si="62"/>
        <v>4.3</v>
      </c>
      <c r="CH9" s="83">
        <f t="shared" si="63"/>
        <v>0.98360655737704927</v>
      </c>
      <c r="CI9" s="459">
        <f t="shared" si="64"/>
        <v>0.98360655737704927</v>
      </c>
      <c r="CJ9" s="84">
        <f t="shared" si="65"/>
        <v>0.8179067041086181</v>
      </c>
      <c r="CK9" s="27">
        <f t="shared" si="66"/>
        <v>13</v>
      </c>
      <c r="CL9" s="23">
        <f t="shared" si="67"/>
        <v>13</v>
      </c>
      <c r="CM9" s="7">
        <f t="shared" si="68"/>
        <v>4.3</v>
      </c>
      <c r="CN9" s="83">
        <f t="shared" si="69"/>
        <v>0.92307692307692313</v>
      </c>
      <c r="CO9" s="459">
        <f t="shared" si="70"/>
        <v>0.92307692307692313</v>
      </c>
      <c r="CP9" s="84">
        <f t="shared" si="71"/>
        <v>0.8179067041086181</v>
      </c>
      <c r="CQ9" s="27">
        <f t="shared" si="72"/>
        <v>13</v>
      </c>
      <c r="CR9" s="23">
        <f t="shared" si="73"/>
        <v>13</v>
      </c>
      <c r="CS9" s="7">
        <f t="shared" si="74"/>
        <v>4.3</v>
      </c>
      <c r="CT9" s="83">
        <f t="shared" si="75"/>
        <v>0.92307692307692313</v>
      </c>
      <c r="CU9" s="459">
        <f t="shared" si="76"/>
        <v>0.92307692307692313</v>
      </c>
      <c r="CV9" s="84">
        <f t="shared" si="77"/>
        <v>0.8179067041086181</v>
      </c>
      <c r="CW9" s="27">
        <f t="shared" si="78"/>
        <v>18</v>
      </c>
      <c r="CX9" s="23">
        <f t="shared" si="79"/>
        <v>18</v>
      </c>
      <c r="CY9" s="7">
        <f t="shared" si="80"/>
        <v>3.7</v>
      </c>
      <c r="CZ9" s="83">
        <f t="shared" si="81"/>
        <v>0.66666666666666663</v>
      </c>
      <c r="DA9" s="459">
        <f t="shared" si="82"/>
        <v>0.66666666666666663</v>
      </c>
      <c r="DB9" s="84">
        <f t="shared" si="83"/>
        <v>0.95054022369379931</v>
      </c>
      <c r="DC9" s="27">
        <f t="shared" si="84"/>
        <v>18</v>
      </c>
      <c r="DD9" s="23">
        <f t="shared" si="85"/>
        <v>18</v>
      </c>
      <c r="DE9" s="7">
        <f t="shared" si="86"/>
        <v>3.7</v>
      </c>
      <c r="DF9" s="83">
        <f t="shared" si="87"/>
        <v>0.66666666666666663</v>
      </c>
      <c r="DG9" s="459">
        <f t="shared" si="88"/>
        <v>0.66666666666666663</v>
      </c>
      <c r="DH9" s="84">
        <f t="shared" si="89"/>
        <v>0.95054022369379931</v>
      </c>
      <c r="DI9" s="27">
        <f t="shared" si="90"/>
        <v>14.1</v>
      </c>
      <c r="DJ9" s="23">
        <f t="shared" si="91"/>
        <v>14.1</v>
      </c>
      <c r="DK9" s="7">
        <f t="shared" si="92"/>
        <v>3.2</v>
      </c>
      <c r="DL9" s="83">
        <f t="shared" si="93"/>
        <v>0.85106382978723405</v>
      </c>
      <c r="DM9" s="459">
        <f t="shared" si="94"/>
        <v>0.85106382978723405</v>
      </c>
      <c r="DN9" s="84">
        <f t="shared" si="95"/>
        <v>1.0990621336459554</v>
      </c>
      <c r="DO9" s="27">
        <f t="shared" si="96"/>
        <v>14.1</v>
      </c>
      <c r="DP9" s="23">
        <f t="shared" si="97"/>
        <v>14.1</v>
      </c>
      <c r="DQ9" s="7">
        <f t="shared" si="98"/>
        <v>3.2</v>
      </c>
      <c r="DR9" s="83">
        <f t="shared" si="99"/>
        <v>0.85106382978723405</v>
      </c>
      <c r="DS9" s="459">
        <f t="shared" si="100"/>
        <v>0.85106382978723405</v>
      </c>
      <c r="DT9" s="84">
        <f t="shared" si="101"/>
        <v>1.0990621336459554</v>
      </c>
      <c r="DU9" s="27">
        <f t="shared" si="102"/>
        <v>10.6</v>
      </c>
      <c r="DV9" s="23">
        <f t="shared" si="103"/>
        <v>10.6</v>
      </c>
      <c r="DW9" s="7">
        <f t="shared" si="104"/>
        <v>3.7</v>
      </c>
      <c r="DX9" s="83">
        <f t="shared" si="105"/>
        <v>1.1320754716981132</v>
      </c>
      <c r="DY9" s="459">
        <f t="shared" si="106"/>
        <v>1.1320754716981132</v>
      </c>
      <c r="DZ9" s="84">
        <f t="shared" si="107"/>
        <v>0.95054022369379931</v>
      </c>
      <c r="EA9" s="27">
        <f t="shared" si="108"/>
        <v>10.6</v>
      </c>
      <c r="EB9" s="23">
        <f t="shared" si="109"/>
        <v>10.6</v>
      </c>
      <c r="EC9" s="7">
        <f t="shared" si="110"/>
        <v>3.7</v>
      </c>
      <c r="ED9" s="83">
        <f t="shared" si="111"/>
        <v>1.1320754716981132</v>
      </c>
      <c r="EE9" s="459">
        <f t="shared" si="112"/>
        <v>1.1320754716981132</v>
      </c>
      <c r="EF9" s="84">
        <f t="shared" si="113"/>
        <v>0.95054022369379931</v>
      </c>
      <c r="EG9" s="27">
        <f t="shared" si="114"/>
        <v>16.3</v>
      </c>
      <c r="EH9" s="23">
        <f t="shared" si="115"/>
        <v>16.3</v>
      </c>
      <c r="EI9" s="7">
        <f t="shared" si="116"/>
        <v>3.1</v>
      </c>
      <c r="EJ9" s="83">
        <f t="shared" si="117"/>
        <v>0.73619631901840488</v>
      </c>
      <c r="EK9" s="459">
        <f t="shared" si="118"/>
        <v>0.73619631901840488</v>
      </c>
      <c r="EL9" s="84">
        <f t="shared" si="119"/>
        <v>1.1345157508603412</v>
      </c>
      <c r="EM9" s="27">
        <f t="shared" si="120"/>
        <v>16.3</v>
      </c>
      <c r="EN9" s="23">
        <f t="shared" si="121"/>
        <v>16.3</v>
      </c>
      <c r="EO9" s="7">
        <f t="shared" si="122"/>
        <v>3.1</v>
      </c>
      <c r="EP9" s="83">
        <f t="shared" si="123"/>
        <v>0.73619631901840488</v>
      </c>
      <c r="EQ9" s="459">
        <f t="shared" si="124"/>
        <v>0.73619631901840488</v>
      </c>
      <c r="ER9" s="84">
        <f t="shared" si="125"/>
        <v>1.1345157508603412</v>
      </c>
      <c r="ES9" s="27">
        <f t="shared" si="126"/>
        <v>12.1</v>
      </c>
      <c r="ET9" s="23">
        <f t="shared" si="127"/>
        <v>12.1</v>
      </c>
      <c r="EU9" s="7">
        <f t="shared" si="128"/>
        <v>2.5</v>
      </c>
      <c r="EV9" s="83">
        <f t="shared" si="129"/>
        <v>0.99173553719008267</v>
      </c>
      <c r="EW9" s="459">
        <f t="shared" si="130"/>
        <v>0.99173553719008267</v>
      </c>
      <c r="EX9" s="84">
        <f t="shared" si="131"/>
        <v>1.4067995310668231</v>
      </c>
      <c r="EY9" s="27">
        <f t="shared" si="132"/>
        <v>12.1</v>
      </c>
      <c r="EZ9" s="23">
        <f t="shared" si="133"/>
        <v>12.1</v>
      </c>
      <c r="FA9" s="7">
        <f t="shared" si="134"/>
        <v>2.5</v>
      </c>
      <c r="FB9" s="83">
        <f t="shared" si="135"/>
        <v>0.99173553719008267</v>
      </c>
      <c r="FC9" s="459">
        <f t="shared" si="136"/>
        <v>0.99173553719008267</v>
      </c>
      <c r="FD9" s="84">
        <f t="shared" si="137"/>
        <v>1.4067995310668231</v>
      </c>
      <c r="FE9" s="12"/>
    </row>
    <row r="10" spans="1:161" x14ac:dyDescent="0.25">
      <c r="A10" s="26">
        <v>2000</v>
      </c>
      <c r="B10" s="23">
        <f t="shared" si="0"/>
        <v>12.1</v>
      </c>
      <c r="C10" s="7">
        <f t="shared" si="0"/>
        <v>12.3</v>
      </c>
      <c r="D10" s="83">
        <f t="shared" si="1"/>
        <v>0.99173553719008267</v>
      </c>
      <c r="E10" s="84">
        <f t="shared" si="2"/>
        <v>0.97560975609756095</v>
      </c>
      <c r="F10" s="23">
        <f t="shared" si="3"/>
        <v>12.1</v>
      </c>
      <c r="G10" s="7">
        <f t="shared" si="3"/>
        <v>12.3</v>
      </c>
      <c r="H10" s="83">
        <f t="shared" si="4"/>
        <v>0.99173553719008267</v>
      </c>
      <c r="I10" s="84">
        <f t="shared" si="5"/>
        <v>0.97560975609756095</v>
      </c>
      <c r="J10" s="23">
        <f t="shared" si="6"/>
        <v>12.1</v>
      </c>
      <c r="K10" s="7">
        <f t="shared" si="6"/>
        <v>13.9</v>
      </c>
      <c r="L10" s="83">
        <f t="shared" si="7"/>
        <v>0.99173553719008267</v>
      </c>
      <c r="M10" s="84">
        <f t="shared" si="8"/>
        <v>0.86330935251798557</v>
      </c>
      <c r="N10" s="23">
        <f t="shared" si="9"/>
        <v>11.9</v>
      </c>
      <c r="O10" s="7">
        <f t="shared" si="9"/>
        <v>13.7</v>
      </c>
      <c r="P10" s="83">
        <f t="shared" si="10"/>
        <v>1.0084033613445378</v>
      </c>
      <c r="Q10" s="84">
        <f t="shared" si="11"/>
        <v>0.87591240875912413</v>
      </c>
      <c r="R10" s="23">
        <f t="shared" si="12"/>
        <v>12.5</v>
      </c>
      <c r="S10" s="7">
        <f t="shared" si="12"/>
        <v>13.9</v>
      </c>
      <c r="T10" s="83">
        <f t="shared" si="13"/>
        <v>0.96</v>
      </c>
      <c r="U10" s="84">
        <f t="shared" si="14"/>
        <v>0.86330935251798557</v>
      </c>
      <c r="V10" s="23">
        <f t="shared" si="15"/>
        <v>12.3</v>
      </c>
      <c r="W10" s="7">
        <f t="shared" si="15"/>
        <v>13.7</v>
      </c>
      <c r="X10" s="83">
        <f t="shared" si="16"/>
        <v>0.97560975609756095</v>
      </c>
      <c r="Y10" s="84">
        <f t="shared" si="17"/>
        <v>0.87591240875912413</v>
      </c>
      <c r="Z10" s="23">
        <f t="shared" si="18"/>
        <v>12.4</v>
      </c>
      <c r="AA10" s="7">
        <f t="shared" si="18"/>
        <v>13.6</v>
      </c>
      <c r="AB10" s="83">
        <f t="shared" si="19"/>
        <v>0.96774193548387089</v>
      </c>
      <c r="AC10" s="84">
        <f t="shared" si="20"/>
        <v>0.88235294117647056</v>
      </c>
      <c r="AD10" s="23">
        <f t="shared" si="21"/>
        <v>12.2</v>
      </c>
      <c r="AE10" s="7">
        <f t="shared" si="21"/>
        <v>13.4</v>
      </c>
      <c r="AF10" s="83">
        <f t="shared" si="22"/>
        <v>0.98360655737704927</v>
      </c>
      <c r="AG10" s="84">
        <f t="shared" si="23"/>
        <v>0.89552238805970152</v>
      </c>
      <c r="AH10" s="23">
        <f t="shared" si="24"/>
        <v>12.2</v>
      </c>
      <c r="AI10" s="7">
        <f t="shared" si="24"/>
        <v>13.5</v>
      </c>
      <c r="AJ10" s="83">
        <f t="shared" si="25"/>
        <v>0.98360655737704927</v>
      </c>
      <c r="AK10" s="84">
        <f t="shared" si="26"/>
        <v>0.88888888888888884</v>
      </c>
      <c r="AL10" s="23">
        <f t="shared" si="27"/>
        <v>12</v>
      </c>
      <c r="AM10" s="7">
        <f t="shared" si="27"/>
        <v>13.3</v>
      </c>
      <c r="AN10" s="83">
        <f t="shared" si="28"/>
        <v>1</v>
      </c>
      <c r="AO10" s="451">
        <f t="shared" si="29"/>
        <v>0.90225563909774431</v>
      </c>
      <c r="AP10" s="457">
        <f t="shared" si="30"/>
        <v>12.1</v>
      </c>
      <c r="AQ10" s="7">
        <f t="shared" si="30"/>
        <v>12.3</v>
      </c>
      <c r="AR10" s="83">
        <f t="shared" si="31"/>
        <v>0.99173553719008267</v>
      </c>
      <c r="AS10" s="84">
        <f t="shared" si="32"/>
        <v>0.97560975609756095</v>
      </c>
      <c r="AT10" s="23">
        <f t="shared" si="33"/>
        <v>12.1</v>
      </c>
      <c r="AU10" s="7">
        <f t="shared" si="33"/>
        <v>12.3</v>
      </c>
      <c r="AV10" s="83">
        <f t="shared" si="34"/>
        <v>0.99173553719008267</v>
      </c>
      <c r="AW10" s="84">
        <f t="shared" si="35"/>
        <v>0.97560975609756095</v>
      </c>
      <c r="AX10" s="23">
        <f t="shared" si="36"/>
        <v>12.1</v>
      </c>
      <c r="AY10" s="7">
        <f t="shared" si="36"/>
        <v>12.3</v>
      </c>
      <c r="AZ10" s="83">
        <f t="shared" si="37"/>
        <v>0.99173553719008267</v>
      </c>
      <c r="BA10" s="84">
        <f t="shared" si="38"/>
        <v>0.97560975609756095</v>
      </c>
      <c r="BB10" s="23">
        <f t="shared" si="39"/>
        <v>11.9</v>
      </c>
      <c r="BC10" s="7">
        <f t="shared" si="39"/>
        <v>12.1</v>
      </c>
      <c r="BD10" s="83">
        <f t="shared" si="40"/>
        <v>1.0084033613445378</v>
      </c>
      <c r="BE10" s="84">
        <f t="shared" si="41"/>
        <v>0.99173553719008267</v>
      </c>
      <c r="BF10" s="23">
        <f t="shared" si="42"/>
        <v>12</v>
      </c>
      <c r="BG10" s="7">
        <f t="shared" si="42"/>
        <v>12.2</v>
      </c>
      <c r="BH10" s="83">
        <f t="shared" si="43"/>
        <v>1</v>
      </c>
      <c r="BI10" s="84">
        <f t="shared" si="44"/>
        <v>0.98360655737704927</v>
      </c>
      <c r="BJ10" s="23">
        <f t="shared" si="45"/>
        <v>11.8</v>
      </c>
      <c r="BK10" s="7">
        <f t="shared" si="45"/>
        <v>12</v>
      </c>
      <c r="BL10" s="83">
        <f t="shared" si="46"/>
        <v>1.0169491525423728</v>
      </c>
      <c r="BM10" s="84">
        <f t="shared" si="47"/>
        <v>1</v>
      </c>
      <c r="BN10" s="23">
        <f t="shared" si="48"/>
        <v>11.9</v>
      </c>
      <c r="BO10" s="7">
        <f t="shared" si="48"/>
        <v>12.1</v>
      </c>
      <c r="BP10" s="83">
        <f t="shared" si="49"/>
        <v>1.0084033613445378</v>
      </c>
      <c r="BQ10" s="84">
        <f t="shared" si="50"/>
        <v>0.99173553719008267</v>
      </c>
      <c r="BR10" s="23">
        <f t="shared" si="51"/>
        <v>11.7</v>
      </c>
      <c r="BS10" s="7">
        <f t="shared" si="51"/>
        <v>11.9</v>
      </c>
      <c r="BT10" s="83">
        <f t="shared" si="52"/>
        <v>1.0256410256410258</v>
      </c>
      <c r="BU10" s="84">
        <f t="shared" si="53"/>
        <v>1.0084033613445378</v>
      </c>
      <c r="BV10" s="23">
        <f t="shared" si="54"/>
        <v>11.7</v>
      </c>
      <c r="BW10" s="7">
        <f t="shared" si="54"/>
        <v>11.9</v>
      </c>
      <c r="BX10" s="83">
        <f t="shared" si="55"/>
        <v>1.0256410256410258</v>
      </c>
      <c r="BY10" s="84">
        <f t="shared" si="56"/>
        <v>1.0084033613445378</v>
      </c>
      <c r="BZ10" s="23">
        <f t="shared" si="57"/>
        <v>11.5</v>
      </c>
      <c r="CA10" s="7">
        <f t="shared" si="57"/>
        <v>11.7</v>
      </c>
      <c r="CB10" s="83">
        <f t="shared" si="58"/>
        <v>1.0434782608695652</v>
      </c>
      <c r="CC10" s="84">
        <f t="shared" si="59"/>
        <v>1.0256410256410258</v>
      </c>
      <c r="CD10" s="465"/>
      <c r="CE10" s="457">
        <f t="shared" si="60"/>
        <v>12.2</v>
      </c>
      <c r="CF10" s="23">
        <f t="shared" si="61"/>
        <v>12.2</v>
      </c>
      <c r="CG10" s="7">
        <f t="shared" si="62"/>
        <v>4.3</v>
      </c>
      <c r="CH10" s="83">
        <f t="shared" si="63"/>
        <v>0.98360655737704927</v>
      </c>
      <c r="CI10" s="459">
        <f t="shared" si="64"/>
        <v>0.98360655737704927</v>
      </c>
      <c r="CJ10" s="84">
        <f t="shared" si="65"/>
        <v>0.8179067041086181</v>
      </c>
      <c r="CK10" s="27">
        <f t="shared" si="66"/>
        <v>13</v>
      </c>
      <c r="CL10" s="23">
        <f t="shared" si="67"/>
        <v>13</v>
      </c>
      <c r="CM10" s="7">
        <f t="shared" si="68"/>
        <v>4.3</v>
      </c>
      <c r="CN10" s="83">
        <f t="shared" si="69"/>
        <v>0.92307692307692313</v>
      </c>
      <c r="CO10" s="459">
        <f t="shared" si="70"/>
        <v>0.92307692307692313</v>
      </c>
      <c r="CP10" s="84">
        <f t="shared" si="71"/>
        <v>0.8179067041086181</v>
      </c>
      <c r="CQ10" s="27">
        <f t="shared" si="72"/>
        <v>13</v>
      </c>
      <c r="CR10" s="23">
        <f t="shared" si="73"/>
        <v>13</v>
      </c>
      <c r="CS10" s="7">
        <f t="shared" si="74"/>
        <v>4.3</v>
      </c>
      <c r="CT10" s="83">
        <f t="shared" si="75"/>
        <v>0.92307692307692313</v>
      </c>
      <c r="CU10" s="459">
        <f t="shared" si="76"/>
        <v>0.92307692307692313</v>
      </c>
      <c r="CV10" s="84">
        <f t="shared" si="77"/>
        <v>0.8179067041086181</v>
      </c>
      <c r="CW10" s="27">
        <f t="shared" si="78"/>
        <v>18</v>
      </c>
      <c r="CX10" s="23">
        <f t="shared" si="79"/>
        <v>18</v>
      </c>
      <c r="CY10" s="7">
        <f t="shared" si="80"/>
        <v>3.7</v>
      </c>
      <c r="CZ10" s="83">
        <f t="shared" si="81"/>
        <v>0.66666666666666663</v>
      </c>
      <c r="DA10" s="459">
        <f t="shared" si="82"/>
        <v>0.66666666666666663</v>
      </c>
      <c r="DB10" s="84">
        <f t="shared" si="83"/>
        <v>0.95054022369379931</v>
      </c>
      <c r="DC10" s="27">
        <f t="shared" si="84"/>
        <v>18</v>
      </c>
      <c r="DD10" s="23">
        <f t="shared" si="85"/>
        <v>18</v>
      </c>
      <c r="DE10" s="7">
        <f t="shared" si="86"/>
        <v>3.7</v>
      </c>
      <c r="DF10" s="83">
        <f t="shared" si="87"/>
        <v>0.66666666666666663</v>
      </c>
      <c r="DG10" s="459">
        <f t="shared" si="88"/>
        <v>0.66666666666666663</v>
      </c>
      <c r="DH10" s="84">
        <f t="shared" si="89"/>
        <v>0.95054022369379931</v>
      </c>
      <c r="DI10" s="27">
        <f t="shared" si="90"/>
        <v>14.1</v>
      </c>
      <c r="DJ10" s="23">
        <f t="shared" si="91"/>
        <v>14.1</v>
      </c>
      <c r="DK10" s="7">
        <f t="shared" si="92"/>
        <v>3.2</v>
      </c>
      <c r="DL10" s="83">
        <f t="shared" si="93"/>
        <v>0.85106382978723405</v>
      </c>
      <c r="DM10" s="459">
        <f t="shared" si="94"/>
        <v>0.85106382978723405</v>
      </c>
      <c r="DN10" s="84">
        <f t="shared" si="95"/>
        <v>1.0990621336459554</v>
      </c>
      <c r="DO10" s="27">
        <f t="shared" si="96"/>
        <v>14.1</v>
      </c>
      <c r="DP10" s="23">
        <f t="shared" si="97"/>
        <v>14.1</v>
      </c>
      <c r="DQ10" s="7">
        <f t="shared" si="98"/>
        <v>3.2</v>
      </c>
      <c r="DR10" s="83">
        <f t="shared" si="99"/>
        <v>0.85106382978723405</v>
      </c>
      <c r="DS10" s="459">
        <f t="shared" si="100"/>
        <v>0.85106382978723405</v>
      </c>
      <c r="DT10" s="84">
        <f t="shared" si="101"/>
        <v>1.0990621336459554</v>
      </c>
      <c r="DU10" s="27">
        <f t="shared" si="102"/>
        <v>10.6</v>
      </c>
      <c r="DV10" s="23">
        <f t="shared" si="103"/>
        <v>10.6</v>
      </c>
      <c r="DW10" s="7">
        <f t="shared" si="104"/>
        <v>3.7</v>
      </c>
      <c r="DX10" s="83">
        <f t="shared" si="105"/>
        <v>1.1320754716981132</v>
      </c>
      <c r="DY10" s="459">
        <f t="shared" si="106"/>
        <v>1.1320754716981132</v>
      </c>
      <c r="DZ10" s="84">
        <f t="shared" si="107"/>
        <v>0.95054022369379931</v>
      </c>
      <c r="EA10" s="27">
        <f t="shared" si="108"/>
        <v>10.6</v>
      </c>
      <c r="EB10" s="23">
        <f t="shared" si="109"/>
        <v>10.6</v>
      </c>
      <c r="EC10" s="7">
        <f t="shared" si="110"/>
        <v>3.7</v>
      </c>
      <c r="ED10" s="83">
        <f t="shared" si="111"/>
        <v>1.1320754716981132</v>
      </c>
      <c r="EE10" s="459">
        <f t="shared" si="112"/>
        <v>1.1320754716981132</v>
      </c>
      <c r="EF10" s="84">
        <f t="shared" si="113"/>
        <v>0.95054022369379931</v>
      </c>
      <c r="EG10" s="27">
        <f t="shared" si="114"/>
        <v>16.3</v>
      </c>
      <c r="EH10" s="23">
        <f t="shared" si="115"/>
        <v>16.3</v>
      </c>
      <c r="EI10" s="7">
        <f t="shared" si="116"/>
        <v>3.1</v>
      </c>
      <c r="EJ10" s="83">
        <f t="shared" si="117"/>
        <v>0.73619631901840488</v>
      </c>
      <c r="EK10" s="459">
        <f t="shared" si="118"/>
        <v>0.73619631901840488</v>
      </c>
      <c r="EL10" s="84">
        <f t="shared" si="119"/>
        <v>1.1345157508603412</v>
      </c>
      <c r="EM10" s="27">
        <f t="shared" si="120"/>
        <v>16.3</v>
      </c>
      <c r="EN10" s="23">
        <f t="shared" si="121"/>
        <v>16.3</v>
      </c>
      <c r="EO10" s="7">
        <f t="shared" si="122"/>
        <v>3.1</v>
      </c>
      <c r="EP10" s="83">
        <f t="shared" si="123"/>
        <v>0.73619631901840488</v>
      </c>
      <c r="EQ10" s="459">
        <f t="shared" si="124"/>
        <v>0.73619631901840488</v>
      </c>
      <c r="ER10" s="84">
        <f t="shared" si="125"/>
        <v>1.1345157508603412</v>
      </c>
      <c r="ES10" s="27">
        <f t="shared" si="126"/>
        <v>12.1</v>
      </c>
      <c r="ET10" s="23">
        <f t="shared" si="127"/>
        <v>12.1</v>
      </c>
      <c r="EU10" s="7">
        <f t="shared" si="128"/>
        <v>2.5</v>
      </c>
      <c r="EV10" s="83">
        <f t="shared" si="129"/>
        <v>0.99173553719008267</v>
      </c>
      <c r="EW10" s="459">
        <f t="shared" si="130"/>
        <v>0.99173553719008267</v>
      </c>
      <c r="EX10" s="84">
        <f t="shared" si="131"/>
        <v>1.4067995310668231</v>
      </c>
      <c r="EY10" s="27">
        <f t="shared" si="132"/>
        <v>12.1</v>
      </c>
      <c r="EZ10" s="23">
        <f t="shared" si="133"/>
        <v>12.1</v>
      </c>
      <c r="FA10" s="7">
        <f t="shared" si="134"/>
        <v>2.5</v>
      </c>
      <c r="FB10" s="83">
        <f t="shared" si="135"/>
        <v>0.99173553719008267</v>
      </c>
      <c r="FC10" s="459">
        <f t="shared" si="136"/>
        <v>0.99173553719008267</v>
      </c>
      <c r="FD10" s="84">
        <f t="shared" si="137"/>
        <v>1.4067995310668231</v>
      </c>
      <c r="FE10" s="12"/>
    </row>
    <row r="11" spans="1:161" x14ac:dyDescent="0.25">
      <c r="A11" s="26">
        <v>2001</v>
      </c>
      <c r="B11" s="23">
        <f t="shared" si="0"/>
        <v>12.1</v>
      </c>
      <c r="C11" s="7">
        <f t="shared" si="0"/>
        <v>12.3</v>
      </c>
      <c r="D11" s="83">
        <f>12/B11</f>
        <v>0.99173553719008267</v>
      </c>
      <c r="E11" s="84">
        <f t="shared" si="2"/>
        <v>0.97560975609756095</v>
      </c>
      <c r="F11" s="23">
        <f t="shared" si="3"/>
        <v>12.1</v>
      </c>
      <c r="G11" s="7">
        <f t="shared" si="3"/>
        <v>12.3</v>
      </c>
      <c r="H11" s="83">
        <f t="shared" si="4"/>
        <v>0.99173553719008267</v>
      </c>
      <c r="I11" s="84">
        <f t="shared" si="5"/>
        <v>0.97560975609756095</v>
      </c>
      <c r="J11" s="23">
        <f t="shared" si="6"/>
        <v>12.1</v>
      </c>
      <c r="K11" s="7">
        <f t="shared" si="6"/>
        <v>13.9</v>
      </c>
      <c r="L11" s="83">
        <f t="shared" si="7"/>
        <v>0.99173553719008267</v>
      </c>
      <c r="M11" s="84">
        <f t="shared" si="8"/>
        <v>0.86330935251798557</v>
      </c>
      <c r="N11" s="23">
        <f t="shared" si="9"/>
        <v>11.9</v>
      </c>
      <c r="O11" s="7">
        <f t="shared" si="9"/>
        <v>13.7</v>
      </c>
      <c r="P11" s="83">
        <f t="shared" si="10"/>
        <v>1.0084033613445378</v>
      </c>
      <c r="Q11" s="84">
        <f t="shared" si="11"/>
        <v>0.87591240875912413</v>
      </c>
      <c r="R11" s="23">
        <f t="shared" si="12"/>
        <v>12.5</v>
      </c>
      <c r="S11" s="7">
        <f t="shared" si="12"/>
        <v>13.9</v>
      </c>
      <c r="T11" s="83">
        <f t="shared" si="13"/>
        <v>0.96</v>
      </c>
      <c r="U11" s="84">
        <f t="shared" si="14"/>
        <v>0.86330935251798557</v>
      </c>
      <c r="V11" s="23">
        <f t="shared" si="15"/>
        <v>12.3</v>
      </c>
      <c r="W11" s="7">
        <f t="shared" si="15"/>
        <v>13.7</v>
      </c>
      <c r="X11" s="83">
        <f t="shared" si="16"/>
        <v>0.97560975609756095</v>
      </c>
      <c r="Y11" s="84">
        <f t="shared" si="17"/>
        <v>0.87591240875912413</v>
      </c>
      <c r="Z11" s="23">
        <f t="shared" si="18"/>
        <v>12.4</v>
      </c>
      <c r="AA11" s="7">
        <f t="shared" si="18"/>
        <v>13.6</v>
      </c>
      <c r="AB11" s="83">
        <f t="shared" si="19"/>
        <v>0.96774193548387089</v>
      </c>
      <c r="AC11" s="84">
        <f t="shared" si="20"/>
        <v>0.88235294117647056</v>
      </c>
      <c r="AD11" s="23">
        <f t="shared" si="21"/>
        <v>12.2</v>
      </c>
      <c r="AE11" s="7">
        <f t="shared" si="21"/>
        <v>13.4</v>
      </c>
      <c r="AF11" s="83">
        <f t="shared" si="22"/>
        <v>0.98360655737704927</v>
      </c>
      <c r="AG11" s="84">
        <f t="shared" si="23"/>
        <v>0.89552238805970152</v>
      </c>
      <c r="AH11" s="23">
        <f t="shared" si="24"/>
        <v>12.2</v>
      </c>
      <c r="AI11" s="7">
        <f t="shared" si="24"/>
        <v>13.5</v>
      </c>
      <c r="AJ11" s="83">
        <f t="shared" si="25"/>
        <v>0.98360655737704927</v>
      </c>
      <c r="AK11" s="84">
        <f t="shared" si="26"/>
        <v>0.88888888888888884</v>
      </c>
      <c r="AL11" s="23">
        <f t="shared" si="27"/>
        <v>12</v>
      </c>
      <c r="AM11" s="7">
        <f t="shared" si="27"/>
        <v>13.3</v>
      </c>
      <c r="AN11" s="83">
        <f t="shared" si="28"/>
        <v>1</v>
      </c>
      <c r="AO11" s="451">
        <f t="shared" si="29"/>
        <v>0.90225563909774431</v>
      </c>
      <c r="AP11" s="457">
        <f t="shared" si="30"/>
        <v>12.1</v>
      </c>
      <c r="AQ11" s="7">
        <f t="shared" si="30"/>
        <v>12.3</v>
      </c>
      <c r="AR11" s="83">
        <f t="shared" si="31"/>
        <v>0.99173553719008267</v>
      </c>
      <c r="AS11" s="84">
        <f t="shared" si="32"/>
        <v>0.97560975609756095</v>
      </c>
      <c r="AT11" s="23">
        <f t="shared" si="33"/>
        <v>12.1</v>
      </c>
      <c r="AU11" s="7">
        <f t="shared" si="33"/>
        <v>12.3</v>
      </c>
      <c r="AV11" s="83">
        <f t="shared" si="34"/>
        <v>0.99173553719008267</v>
      </c>
      <c r="AW11" s="84">
        <f t="shared" si="35"/>
        <v>0.97560975609756095</v>
      </c>
      <c r="AX11" s="23">
        <f t="shared" si="36"/>
        <v>12.1</v>
      </c>
      <c r="AY11" s="7">
        <f t="shared" si="36"/>
        <v>12.3</v>
      </c>
      <c r="AZ11" s="83">
        <f t="shared" si="37"/>
        <v>0.99173553719008267</v>
      </c>
      <c r="BA11" s="84">
        <f t="shared" si="38"/>
        <v>0.97560975609756095</v>
      </c>
      <c r="BB11" s="23">
        <f t="shared" si="39"/>
        <v>11.9</v>
      </c>
      <c r="BC11" s="7">
        <f t="shared" si="39"/>
        <v>12.1</v>
      </c>
      <c r="BD11" s="83">
        <f t="shared" si="40"/>
        <v>1.0084033613445378</v>
      </c>
      <c r="BE11" s="84">
        <f t="shared" si="41"/>
        <v>0.99173553719008267</v>
      </c>
      <c r="BF11" s="23">
        <f t="shared" si="42"/>
        <v>12</v>
      </c>
      <c r="BG11" s="7">
        <f t="shared" si="42"/>
        <v>12.2</v>
      </c>
      <c r="BH11" s="83">
        <f t="shared" si="43"/>
        <v>1</v>
      </c>
      <c r="BI11" s="84">
        <f t="shared" si="44"/>
        <v>0.98360655737704927</v>
      </c>
      <c r="BJ11" s="23">
        <f t="shared" si="45"/>
        <v>11.8</v>
      </c>
      <c r="BK11" s="7">
        <f t="shared" si="45"/>
        <v>12</v>
      </c>
      <c r="BL11" s="83">
        <f t="shared" si="46"/>
        <v>1.0169491525423728</v>
      </c>
      <c r="BM11" s="84">
        <f t="shared" si="47"/>
        <v>1</v>
      </c>
      <c r="BN11" s="23">
        <f t="shared" si="48"/>
        <v>11.9</v>
      </c>
      <c r="BO11" s="7">
        <f t="shared" si="48"/>
        <v>12.1</v>
      </c>
      <c r="BP11" s="83">
        <f t="shared" si="49"/>
        <v>1.0084033613445378</v>
      </c>
      <c r="BQ11" s="84">
        <f t="shared" si="50"/>
        <v>0.99173553719008267</v>
      </c>
      <c r="BR11" s="23">
        <f t="shared" si="51"/>
        <v>11.7</v>
      </c>
      <c r="BS11" s="7">
        <f t="shared" si="51"/>
        <v>11.9</v>
      </c>
      <c r="BT11" s="83">
        <f t="shared" si="52"/>
        <v>1.0256410256410258</v>
      </c>
      <c r="BU11" s="84">
        <f t="shared" si="53"/>
        <v>1.0084033613445378</v>
      </c>
      <c r="BV11" s="23">
        <f t="shared" si="54"/>
        <v>11.7</v>
      </c>
      <c r="BW11" s="7">
        <f t="shared" si="54"/>
        <v>11.9</v>
      </c>
      <c r="BX11" s="83">
        <f t="shared" si="55"/>
        <v>1.0256410256410258</v>
      </c>
      <c r="BY11" s="84">
        <f t="shared" si="56"/>
        <v>1.0084033613445378</v>
      </c>
      <c r="BZ11" s="23">
        <f t="shared" si="57"/>
        <v>11.5</v>
      </c>
      <c r="CA11" s="7">
        <f t="shared" si="57"/>
        <v>11.7</v>
      </c>
      <c r="CB11" s="83">
        <f t="shared" si="58"/>
        <v>1.0434782608695652</v>
      </c>
      <c r="CC11" s="84">
        <f t="shared" si="59"/>
        <v>1.0256410256410258</v>
      </c>
      <c r="CD11" s="465"/>
      <c r="CE11" s="457">
        <f t="shared" si="60"/>
        <v>12.2</v>
      </c>
      <c r="CF11" s="23">
        <f t="shared" si="61"/>
        <v>12.2</v>
      </c>
      <c r="CG11" s="7">
        <f t="shared" si="62"/>
        <v>4.3</v>
      </c>
      <c r="CH11" s="83">
        <f t="shared" si="63"/>
        <v>0.98360655737704927</v>
      </c>
      <c r="CI11" s="459">
        <f t="shared" si="64"/>
        <v>0.98360655737704927</v>
      </c>
      <c r="CJ11" s="84">
        <f t="shared" si="65"/>
        <v>0.8179067041086181</v>
      </c>
      <c r="CK11" s="27">
        <f t="shared" si="66"/>
        <v>13</v>
      </c>
      <c r="CL11" s="23">
        <f t="shared" si="67"/>
        <v>13</v>
      </c>
      <c r="CM11" s="7">
        <f t="shared" si="68"/>
        <v>4.3</v>
      </c>
      <c r="CN11" s="83">
        <f t="shared" si="69"/>
        <v>0.92307692307692313</v>
      </c>
      <c r="CO11" s="459">
        <f t="shared" si="70"/>
        <v>0.92307692307692313</v>
      </c>
      <c r="CP11" s="84">
        <f t="shared" si="71"/>
        <v>0.8179067041086181</v>
      </c>
      <c r="CQ11" s="27">
        <f t="shared" si="72"/>
        <v>13</v>
      </c>
      <c r="CR11" s="23">
        <f t="shared" si="73"/>
        <v>13</v>
      </c>
      <c r="CS11" s="7">
        <f t="shared" si="74"/>
        <v>4.3</v>
      </c>
      <c r="CT11" s="83">
        <f t="shared" si="75"/>
        <v>0.92307692307692313</v>
      </c>
      <c r="CU11" s="459">
        <f t="shared" si="76"/>
        <v>0.92307692307692313</v>
      </c>
      <c r="CV11" s="84">
        <f t="shared" si="77"/>
        <v>0.8179067041086181</v>
      </c>
      <c r="CW11" s="27">
        <f t="shared" si="78"/>
        <v>18</v>
      </c>
      <c r="CX11" s="23">
        <f t="shared" si="79"/>
        <v>18</v>
      </c>
      <c r="CY11" s="7">
        <f t="shared" si="80"/>
        <v>3.7</v>
      </c>
      <c r="CZ11" s="83">
        <f t="shared" si="81"/>
        <v>0.66666666666666663</v>
      </c>
      <c r="DA11" s="459">
        <f t="shared" si="82"/>
        <v>0.66666666666666663</v>
      </c>
      <c r="DB11" s="84">
        <f t="shared" si="83"/>
        <v>0.95054022369379931</v>
      </c>
      <c r="DC11" s="27">
        <f t="shared" si="84"/>
        <v>18</v>
      </c>
      <c r="DD11" s="23">
        <f t="shared" si="85"/>
        <v>18</v>
      </c>
      <c r="DE11" s="7">
        <f t="shared" si="86"/>
        <v>3.7</v>
      </c>
      <c r="DF11" s="83">
        <f t="shared" si="87"/>
        <v>0.66666666666666663</v>
      </c>
      <c r="DG11" s="459">
        <f t="shared" si="88"/>
        <v>0.66666666666666663</v>
      </c>
      <c r="DH11" s="84">
        <f t="shared" si="89"/>
        <v>0.95054022369379931</v>
      </c>
      <c r="DI11" s="27">
        <f t="shared" si="90"/>
        <v>14.1</v>
      </c>
      <c r="DJ11" s="23">
        <f t="shared" si="91"/>
        <v>14.1</v>
      </c>
      <c r="DK11" s="7">
        <f t="shared" si="92"/>
        <v>3.2</v>
      </c>
      <c r="DL11" s="83">
        <f t="shared" si="93"/>
        <v>0.85106382978723405</v>
      </c>
      <c r="DM11" s="459">
        <f t="shared" si="94"/>
        <v>0.85106382978723405</v>
      </c>
      <c r="DN11" s="84">
        <f t="shared" si="95"/>
        <v>1.0990621336459554</v>
      </c>
      <c r="DO11" s="27">
        <f t="shared" si="96"/>
        <v>14.1</v>
      </c>
      <c r="DP11" s="23">
        <f t="shared" si="97"/>
        <v>14.1</v>
      </c>
      <c r="DQ11" s="7">
        <f t="shared" si="98"/>
        <v>3.2</v>
      </c>
      <c r="DR11" s="83">
        <f t="shared" si="99"/>
        <v>0.85106382978723405</v>
      </c>
      <c r="DS11" s="459">
        <f t="shared" si="100"/>
        <v>0.85106382978723405</v>
      </c>
      <c r="DT11" s="84">
        <f t="shared" si="101"/>
        <v>1.0990621336459554</v>
      </c>
      <c r="DU11" s="27">
        <f t="shared" si="102"/>
        <v>10.6</v>
      </c>
      <c r="DV11" s="23">
        <f t="shared" si="103"/>
        <v>10.6</v>
      </c>
      <c r="DW11" s="7">
        <f t="shared" si="104"/>
        <v>3.7</v>
      </c>
      <c r="DX11" s="83">
        <f t="shared" si="105"/>
        <v>1.1320754716981132</v>
      </c>
      <c r="DY11" s="459">
        <f t="shared" si="106"/>
        <v>1.1320754716981132</v>
      </c>
      <c r="DZ11" s="84">
        <f t="shared" si="107"/>
        <v>0.95054022369379931</v>
      </c>
      <c r="EA11" s="27">
        <f t="shared" si="108"/>
        <v>10.6</v>
      </c>
      <c r="EB11" s="23">
        <f t="shared" si="109"/>
        <v>10.6</v>
      </c>
      <c r="EC11" s="7">
        <f t="shared" si="110"/>
        <v>3.7</v>
      </c>
      <c r="ED11" s="83">
        <f t="shared" si="111"/>
        <v>1.1320754716981132</v>
      </c>
      <c r="EE11" s="459">
        <f t="shared" si="112"/>
        <v>1.1320754716981132</v>
      </c>
      <c r="EF11" s="84">
        <f t="shared" si="113"/>
        <v>0.95054022369379931</v>
      </c>
      <c r="EG11" s="27">
        <f t="shared" si="114"/>
        <v>16.3</v>
      </c>
      <c r="EH11" s="23">
        <f t="shared" si="115"/>
        <v>16.3</v>
      </c>
      <c r="EI11" s="7">
        <f t="shared" si="116"/>
        <v>3.1</v>
      </c>
      <c r="EJ11" s="83">
        <f t="shared" si="117"/>
        <v>0.73619631901840488</v>
      </c>
      <c r="EK11" s="459">
        <f t="shared" si="118"/>
        <v>0.73619631901840488</v>
      </c>
      <c r="EL11" s="84">
        <f t="shared" si="119"/>
        <v>1.1345157508603412</v>
      </c>
      <c r="EM11" s="27">
        <f t="shared" si="120"/>
        <v>16.3</v>
      </c>
      <c r="EN11" s="23">
        <f t="shared" si="121"/>
        <v>16.3</v>
      </c>
      <c r="EO11" s="7">
        <f t="shared" si="122"/>
        <v>3.1</v>
      </c>
      <c r="EP11" s="83">
        <f t="shared" si="123"/>
        <v>0.73619631901840488</v>
      </c>
      <c r="EQ11" s="459">
        <f t="shared" si="124"/>
        <v>0.73619631901840488</v>
      </c>
      <c r="ER11" s="84">
        <f t="shared" si="125"/>
        <v>1.1345157508603412</v>
      </c>
      <c r="ES11" s="27">
        <f t="shared" si="126"/>
        <v>12.1</v>
      </c>
      <c r="ET11" s="23">
        <f t="shared" si="127"/>
        <v>12.1</v>
      </c>
      <c r="EU11" s="7">
        <f t="shared" si="128"/>
        <v>2.5</v>
      </c>
      <c r="EV11" s="83">
        <f t="shared" si="129"/>
        <v>0.99173553719008267</v>
      </c>
      <c r="EW11" s="459">
        <f t="shared" si="130"/>
        <v>0.99173553719008267</v>
      </c>
      <c r="EX11" s="84">
        <f t="shared" si="131"/>
        <v>1.4067995310668231</v>
      </c>
      <c r="EY11" s="27">
        <f t="shared" si="132"/>
        <v>12.1</v>
      </c>
      <c r="EZ11" s="23">
        <f t="shared" si="133"/>
        <v>12.1</v>
      </c>
      <c r="FA11" s="7">
        <f t="shared" si="134"/>
        <v>2.5</v>
      </c>
      <c r="FB11" s="83">
        <f t="shared" si="135"/>
        <v>0.99173553719008267</v>
      </c>
      <c r="FC11" s="459">
        <f t="shared" si="136"/>
        <v>0.99173553719008267</v>
      </c>
      <c r="FD11" s="84">
        <f t="shared" si="137"/>
        <v>1.4067995310668231</v>
      </c>
      <c r="FE11" s="12"/>
    </row>
    <row r="12" spans="1:161" x14ac:dyDescent="0.25">
      <c r="A12" s="26">
        <v>2002</v>
      </c>
      <c r="B12" s="23">
        <f t="shared" si="0"/>
        <v>12.1</v>
      </c>
      <c r="C12" s="7">
        <f t="shared" si="0"/>
        <v>12.3</v>
      </c>
      <c r="D12" s="83">
        <f t="shared" si="1"/>
        <v>0.99173553719008267</v>
      </c>
      <c r="E12" s="84">
        <f t="shared" si="2"/>
        <v>0.97560975609756095</v>
      </c>
      <c r="F12" s="23">
        <f t="shared" si="3"/>
        <v>12.1</v>
      </c>
      <c r="G12" s="7">
        <f t="shared" si="3"/>
        <v>12.3</v>
      </c>
      <c r="H12" s="83">
        <f t="shared" si="4"/>
        <v>0.99173553719008267</v>
      </c>
      <c r="I12" s="84">
        <f t="shared" si="5"/>
        <v>0.97560975609756095</v>
      </c>
      <c r="J12" s="23">
        <f t="shared" si="6"/>
        <v>12.1</v>
      </c>
      <c r="K12" s="7">
        <f t="shared" si="6"/>
        <v>13.9</v>
      </c>
      <c r="L12" s="83">
        <f t="shared" si="7"/>
        <v>0.99173553719008267</v>
      </c>
      <c r="M12" s="84">
        <f t="shared" si="8"/>
        <v>0.86330935251798557</v>
      </c>
      <c r="N12" s="23">
        <f t="shared" si="9"/>
        <v>11.9</v>
      </c>
      <c r="O12" s="7">
        <f t="shared" si="9"/>
        <v>13.7</v>
      </c>
      <c r="P12" s="83">
        <f t="shared" si="10"/>
        <v>1.0084033613445378</v>
      </c>
      <c r="Q12" s="84">
        <f t="shared" si="11"/>
        <v>0.87591240875912413</v>
      </c>
      <c r="R12" s="23">
        <f t="shared" si="12"/>
        <v>12.5</v>
      </c>
      <c r="S12" s="7">
        <f t="shared" si="12"/>
        <v>13.9</v>
      </c>
      <c r="T12" s="83">
        <f t="shared" si="13"/>
        <v>0.96</v>
      </c>
      <c r="U12" s="84">
        <f t="shared" si="14"/>
        <v>0.86330935251798557</v>
      </c>
      <c r="V12" s="23">
        <f t="shared" si="15"/>
        <v>12.3</v>
      </c>
      <c r="W12" s="7">
        <f t="shared" si="15"/>
        <v>13.7</v>
      </c>
      <c r="X12" s="83">
        <f t="shared" si="16"/>
        <v>0.97560975609756095</v>
      </c>
      <c r="Y12" s="84">
        <f t="shared" si="17"/>
        <v>0.87591240875912413</v>
      </c>
      <c r="Z12" s="23">
        <f t="shared" si="18"/>
        <v>12.4</v>
      </c>
      <c r="AA12" s="7">
        <f t="shared" si="18"/>
        <v>13.6</v>
      </c>
      <c r="AB12" s="83">
        <f t="shared" si="19"/>
        <v>0.96774193548387089</v>
      </c>
      <c r="AC12" s="84">
        <f t="shared" si="20"/>
        <v>0.88235294117647056</v>
      </c>
      <c r="AD12" s="23">
        <f t="shared" si="21"/>
        <v>12.2</v>
      </c>
      <c r="AE12" s="7">
        <f t="shared" si="21"/>
        <v>13.4</v>
      </c>
      <c r="AF12" s="83">
        <f t="shared" si="22"/>
        <v>0.98360655737704927</v>
      </c>
      <c r="AG12" s="84">
        <f t="shared" si="23"/>
        <v>0.89552238805970152</v>
      </c>
      <c r="AH12" s="23">
        <f t="shared" si="24"/>
        <v>12.2</v>
      </c>
      <c r="AI12" s="7">
        <f t="shared" si="24"/>
        <v>13.5</v>
      </c>
      <c r="AJ12" s="83">
        <f t="shared" si="25"/>
        <v>0.98360655737704927</v>
      </c>
      <c r="AK12" s="84">
        <f t="shared" si="26"/>
        <v>0.88888888888888884</v>
      </c>
      <c r="AL12" s="23">
        <f t="shared" si="27"/>
        <v>12</v>
      </c>
      <c r="AM12" s="7">
        <f t="shared" si="27"/>
        <v>13.3</v>
      </c>
      <c r="AN12" s="83">
        <f t="shared" si="28"/>
        <v>1</v>
      </c>
      <c r="AO12" s="451">
        <f t="shared" si="29"/>
        <v>0.90225563909774431</v>
      </c>
      <c r="AP12" s="457">
        <f t="shared" si="30"/>
        <v>12.1</v>
      </c>
      <c r="AQ12" s="7">
        <f t="shared" si="30"/>
        <v>12.3</v>
      </c>
      <c r="AR12" s="83">
        <f t="shared" si="31"/>
        <v>0.99173553719008267</v>
      </c>
      <c r="AS12" s="84">
        <f t="shared" si="32"/>
        <v>0.97560975609756095</v>
      </c>
      <c r="AT12" s="23">
        <f t="shared" si="33"/>
        <v>12.1</v>
      </c>
      <c r="AU12" s="7">
        <f t="shared" si="33"/>
        <v>12.3</v>
      </c>
      <c r="AV12" s="83">
        <f t="shared" si="34"/>
        <v>0.99173553719008267</v>
      </c>
      <c r="AW12" s="84">
        <f t="shared" si="35"/>
        <v>0.97560975609756095</v>
      </c>
      <c r="AX12" s="23">
        <f t="shared" si="36"/>
        <v>12.1</v>
      </c>
      <c r="AY12" s="7">
        <f t="shared" si="36"/>
        <v>12.3</v>
      </c>
      <c r="AZ12" s="83">
        <f t="shared" si="37"/>
        <v>0.99173553719008267</v>
      </c>
      <c r="BA12" s="84">
        <f t="shared" si="38"/>
        <v>0.97560975609756095</v>
      </c>
      <c r="BB12" s="23">
        <f t="shared" si="39"/>
        <v>11.9</v>
      </c>
      <c r="BC12" s="7">
        <f t="shared" si="39"/>
        <v>12.1</v>
      </c>
      <c r="BD12" s="83">
        <f t="shared" si="40"/>
        <v>1.0084033613445378</v>
      </c>
      <c r="BE12" s="84">
        <f t="shared" si="41"/>
        <v>0.99173553719008267</v>
      </c>
      <c r="BF12" s="23">
        <f t="shared" si="42"/>
        <v>12</v>
      </c>
      <c r="BG12" s="7">
        <f t="shared" si="42"/>
        <v>12.2</v>
      </c>
      <c r="BH12" s="83">
        <f t="shared" si="43"/>
        <v>1</v>
      </c>
      <c r="BI12" s="84">
        <f t="shared" si="44"/>
        <v>0.98360655737704927</v>
      </c>
      <c r="BJ12" s="23">
        <f t="shared" si="45"/>
        <v>11.8</v>
      </c>
      <c r="BK12" s="7">
        <f t="shared" si="45"/>
        <v>12</v>
      </c>
      <c r="BL12" s="83">
        <f t="shared" si="46"/>
        <v>1.0169491525423728</v>
      </c>
      <c r="BM12" s="84">
        <f t="shared" si="47"/>
        <v>1</v>
      </c>
      <c r="BN12" s="23">
        <f t="shared" si="48"/>
        <v>11.9</v>
      </c>
      <c r="BO12" s="7">
        <f t="shared" si="48"/>
        <v>12.1</v>
      </c>
      <c r="BP12" s="83">
        <f t="shared" si="49"/>
        <v>1.0084033613445378</v>
      </c>
      <c r="BQ12" s="84">
        <f t="shared" si="50"/>
        <v>0.99173553719008267</v>
      </c>
      <c r="BR12" s="23">
        <f t="shared" si="51"/>
        <v>11.7</v>
      </c>
      <c r="BS12" s="7">
        <f t="shared" si="51"/>
        <v>11.9</v>
      </c>
      <c r="BT12" s="83">
        <f t="shared" si="52"/>
        <v>1.0256410256410258</v>
      </c>
      <c r="BU12" s="84">
        <f t="shared" si="53"/>
        <v>1.0084033613445378</v>
      </c>
      <c r="BV12" s="23">
        <f t="shared" si="54"/>
        <v>11.7</v>
      </c>
      <c r="BW12" s="7">
        <f t="shared" si="54"/>
        <v>11.9</v>
      </c>
      <c r="BX12" s="83">
        <f t="shared" si="55"/>
        <v>1.0256410256410258</v>
      </c>
      <c r="BY12" s="84">
        <f t="shared" si="56"/>
        <v>1.0084033613445378</v>
      </c>
      <c r="BZ12" s="23">
        <f t="shared" si="57"/>
        <v>11.5</v>
      </c>
      <c r="CA12" s="7">
        <f t="shared" si="57"/>
        <v>11.7</v>
      </c>
      <c r="CB12" s="83">
        <f t="shared" si="58"/>
        <v>1.0434782608695652</v>
      </c>
      <c r="CC12" s="84">
        <f t="shared" si="59"/>
        <v>1.0256410256410258</v>
      </c>
      <c r="CD12" s="465"/>
      <c r="CE12" s="457">
        <f t="shared" si="60"/>
        <v>12.2</v>
      </c>
      <c r="CF12" s="23">
        <f t="shared" si="61"/>
        <v>12.2</v>
      </c>
      <c r="CG12" s="7">
        <f t="shared" si="62"/>
        <v>4.3</v>
      </c>
      <c r="CH12" s="83">
        <f t="shared" si="63"/>
        <v>0.98360655737704927</v>
      </c>
      <c r="CI12" s="459">
        <f t="shared" si="64"/>
        <v>0.98360655737704927</v>
      </c>
      <c r="CJ12" s="84">
        <f t="shared" si="65"/>
        <v>0.8179067041086181</v>
      </c>
      <c r="CK12" s="27">
        <f t="shared" si="66"/>
        <v>13</v>
      </c>
      <c r="CL12" s="23">
        <f t="shared" si="67"/>
        <v>13</v>
      </c>
      <c r="CM12" s="7">
        <f t="shared" si="68"/>
        <v>4.3</v>
      </c>
      <c r="CN12" s="83">
        <f t="shared" si="69"/>
        <v>0.92307692307692313</v>
      </c>
      <c r="CO12" s="459">
        <f t="shared" si="70"/>
        <v>0.92307692307692313</v>
      </c>
      <c r="CP12" s="84">
        <f t="shared" si="71"/>
        <v>0.8179067041086181</v>
      </c>
      <c r="CQ12" s="27">
        <f t="shared" si="72"/>
        <v>13</v>
      </c>
      <c r="CR12" s="23">
        <f t="shared" si="73"/>
        <v>13</v>
      </c>
      <c r="CS12" s="7">
        <f t="shared" si="74"/>
        <v>4.3</v>
      </c>
      <c r="CT12" s="83">
        <f t="shared" si="75"/>
        <v>0.92307692307692313</v>
      </c>
      <c r="CU12" s="459">
        <f t="shared" si="76"/>
        <v>0.92307692307692313</v>
      </c>
      <c r="CV12" s="84">
        <f t="shared" si="77"/>
        <v>0.8179067041086181</v>
      </c>
      <c r="CW12" s="27">
        <f t="shared" si="78"/>
        <v>18</v>
      </c>
      <c r="CX12" s="23">
        <f t="shared" si="79"/>
        <v>18</v>
      </c>
      <c r="CY12" s="7">
        <f t="shared" si="80"/>
        <v>3.7</v>
      </c>
      <c r="CZ12" s="83">
        <f t="shared" si="81"/>
        <v>0.66666666666666663</v>
      </c>
      <c r="DA12" s="459">
        <f t="shared" si="82"/>
        <v>0.66666666666666663</v>
      </c>
      <c r="DB12" s="84">
        <f t="shared" si="83"/>
        <v>0.95054022369379931</v>
      </c>
      <c r="DC12" s="27">
        <f t="shared" si="84"/>
        <v>18</v>
      </c>
      <c r="DD12" s="23">
        <f t="shared" si="85"/>
        <v>18</v>
      </c>
      <c r="DE12" s="7">
        <f t="shared" si="86"/>
        <v>3.7</v>
      </c>
      <c r="DF12" s="83">
        <f t="shared" si="87"/>
        <v>0.66666666666666663</v>
      </c>
      <c r="DG12" s="459">
        <f t="shared" si="88"/>
        <v>0.66666666666666663</v>
      </c>
      <c r="DH12" s="84">
        <f t="shared" si="89"/>
        <v>0.95054022369379931</v>
      </c>
      <c r="DI12" s="27">
        <f t="shared" si="90"/>
        <v>14.1</v>
      </c>
      <c r="DJ12" s="23">
        <f t="shared" si="91"/>
        <v>14.1</v>
      </c>
      <c r="DK12" s="7">
        <f t="shared" si="92"/>
        <v>3.2</v>
      </c>
      <c r="DL12" s="83">
        <f t="shared" si="93"/>
        <v>0.85106382978723405</v>
      </c>
      <c r="DM12" s="459">
        <f t="shared" si="94"/>
        <v>0.85106382978723405</v>
      </c>
      <c r="DN12" s="84">
        <f t="shared" si="95"/>
        <v>1.0990621336459554</v>
      </c>
      <c r="DO12" s="27">
        <f t="shared" si="96"/>
        <v>14.1</v>
      </c>
      <c r="DP12" s="23">
        <f t="shared" si="97"/>
        <v>14.1</v>
      </c>
      <c r="DQ12" s="7">
        <f t="shared" si="98"/>
        <v>3.2</v>
      </c>
      <c r="DR12" s="83">
        <f t="shared" si="99"/>
        <v>0.85106382978723405</v>
      </c>
      <c r="DS12" s="459">
        <f t="shared" si="100"/>
        <v>0.85106382978723405</v>
      </c>
      <c r="DT12" s="84">
        <f t="shared" si="101"/>
        <v>1.0990621336459554</v>
      </c>
      <c r="DU12" s="27">
        <f t="shared" si="102"/>
        <v>10.6</v>
      </c>
      <c r="DV12" s="23">
        <f t="shared" si="103"/>
        <v>10.6</v>
      </c>
      <c r="DW12" s="7">
        <f t="shared" si="104"/>
        <v>3.7</v>
      </c>
      <c r="DX12" s="83">
        <f t="shared" si="105"/>
        <v>1.1320754716981132</v>
      </c>
      <c r="DY12" s="459">
        <f t="shared" si="106"/>
        <v>1.1320754716981132</v>
      </c>
      <c r="DZ12" s="84">
        <f t="shared" si="107"/>
        <v>0.95054022369379931</v>
      </c>
      <c r="EA12" s="27">
        <f t="shared" si="108"/>
        <v>10.6</v>
      </c>
      <c r="EB12" s="23">
        <f t="shared" si="109"/>
        <v>10.6</v>
      </c>
      <c r="EC12" s="7">
        <f t="shared" si="110"/>
        <v>3.7</v>
      </c>
      <c r="ED12" s="83">
        <f t="shared" si="111"/>
        <v>1.1320754716981132</v>
      </c>
      <c r="EE12" s="459">
        <f t="shared" si="112"/>
        <v>1.1320754716981132</v>
      </c>
      <c r="EF12" s="84">
        <f t="shared" si="113"/>
        <v>0.95054022369379931</v>
      </c>
      <c r="EG12" s="27">
        <f t="shared" si="114"/>
        <v>16.3</v>
      </c>
      <c r="EH12" s="23">
        <f t="shared" si="115"/>
        <v>16.3</v>
      </c>
      <c r="EI12" s="7">
        <f t="shared" si="116"/>
        <v>3.1</v>
      </c>
      <c r="EJ12" s="83">
        <f t="shared" si="117"/>
        <v>0.73619631901840488</v>
      </c>
      <c r="EK12" s="459">
        <f t="shared" si="118"/>
        <v>0.73619631901840488</v>
      </c>
      <c r="EL12" s="84">
        <f t="shared" si="119"/>
        <v>1.1345157508603412</v>
      </c>
      <c r="EM12" s="27">
        <f t="shared" si="120"/>
        <v>16.3</v>
      </c>
      <c r="EN12" s="23">
        <f t="shared" si="121"/>
        <v>16.3</v>
      </c>
      <c r="EO12" s="7">
        <f t="shared" si="122"/>
        <v>3.1</v>
      </c>
      <c r="EP12" s="83">
        <f t="shared" si="123"/>
        <v>0.73619631901840488</v>
      </c>
      <c r="EQ12" s="459">
        <f t="shared" si="124"/>
        <v>0.73619631901840488</v>
      </c>
      <c r="ER12" s="84">
        <f t="shared" si="125"/>
        <v>1.1345157508603412</v>
      </c>
      <c r="ES12" s="27">
        <f t="shared" si="126"/>
        <v>12.1</v>
      </c>
      <c r="ET12" s="23">
        <f t="shared" si="127"/>
        <v>12.1</v>
      </c>
      <c r="EU12" s="7">
        <f t="shared" si="128"/>
        <v>2.5</v>
      </c>
      <c r="EV12" s="83">
        <f t="shared" si="129"/>
        <v>0.99173553719008267</v>
      </c>
      <c r="EW12" s="459">
        <f t="shared" si="130"/>
        <v>0.99173553719008267</v>
      </c>
      <c r="EX12" s="84">
        <f t="shared" si="131"/>
        <v>1.4067995310668231</v>
      </c>
      <c r="EY12" s="27">
        <f t="shared" si="132"/>
        <v>12.1</v>
      </c>
      <c r="EZ12" s="23">
        <f t="shared" si="133"/>
        <v>12.1</v>
      </c>
      <c r="FA12" s="7">
        <f t="shared" si="134"/>
        <v>2.5</v>
      </c>
      <c r="FB12" s="83">
        <f t="shared" si="135"/>
        <v>0.99173553719008267</v>
      </c>
      <c r="FC12" s="459">
        <f t="shared" si="136"/>
        <v>0.99173553719008267</v>
      </c>
      <c r="FD12" s="84">
        <f t="shared" si="137"/>
        <v>1.4067995310668231</v>
      </c>
      <c r="FE12" s="12"/>
    </row>
    <row r="13" spans="1:161" x14ac:dyDescent="0.25">
      <c r="A13" s="26">
        <v>2003</v>
      </c>
      <c r="B13" s="23">
        <f t="shared" si="0"/>
        <v>12.1</v>
      </c>
      <c r="C13" s="7">
        <f t="shared" si="0"/>
        <v>12.3</v>
      </c>
      <c r="D13" s="83">
        <f t="shared" si="1"/>
        <v>0.99173553719008267</v>
      </c>
      <c r="E13" s="84">
        <f t="shared" si="2"/>
        <v>0.97560975609756095</v>
      </c>
      <c r="F13" s="23">
        <f t="shared" si="3"/>
        <v>12.1</v>
      </c>
      <c r="G13" s="7">
        <f t="shared" si="3"/>
        <v>12.3</v>
      </c>
      <c r="H13" s="83">
        <f t="shared" si="4"/>
        <v>0.99173553719008267</v>
      </c>
      <c r="I13" s="84">
        <f t="shared" si="5"/>
        <v>0.97560975609756095</v>
      </c>
      <c r="J13" s="23">
        <f t="shared" si="6"/>
        <v>12.1</v>
      </c>
      <c r="K13" s="7">
        <f t="shared" si="6"/>
        <v>13.9</v>
      </c>
      <c r="L13" s="83">
        <f t="shared" si="7"/>
        <v>0.99173553719008267</v>
      </c>
      <c r="M13" s="84">
        <f t="shared" si="8"/>
        <v>0.86330935251798557</v>
      </c>
      <c r="N13" s="23">
        <f t="shared" si="9"/>
        <v>11.9</v>
      </c>
      <c r="O13" s="7">
        <f t="shared" si="9"/>
        <v>13.7</v>
      </c>
      <c r="P13" s="83">
        <f t="shared" si="10"/>
        <v>1.0084033613445378</v>
      </c>
      <c r="Q13" s="84">
        <f t="shared" si="11"/>
        <v>0.87591240875912413</v>
      </c>
      <c r="R13" s="23">
        <f t="shared" si="12"/>
        <v>12.5</v>
      </c>
      <c r="S13" s="7">
        <f t="shared" si="12"/>
        <v>13.9</v>
      </c>
      <c r="T13" s="83">
        <f t="shared" si="13"/>
        <v>0.96</v>
      </c>
      <c r="U13" s="84">
        <f t="shared" si="14"/>
        <v>0.86330935251798557</v>
      </c>
      <c r="V13" s="23">
        <f t="shared" si="15"/>
        <v>12.3</v>
      </c>
      <c r="W13" s="7">
        <f t="shared" si="15"/>
        <v>13.7</v>
      </c>
      <c r="X13" s="83">
        <f t="shared" si="16"/>
        <v>0.97560975609756095</v>
      </c>
      <c r="Y13" s="84">
        <f t="shared" si="17"/>
        <v>0.87591240875912413</v>
      </c>
      <c r="Z13" s="23">
        <f t="shared" si="18"/>
        <v>12.4</v>
      </c>
      <c r="AA13" s="7">
        <f t="shared" si="18"/>
        <v>13.6</v>
      </c>
      <c r="AB13" s="83">
        <f t="shared" si="19"/>
        <v>0.96774193548387089</v>
      </c>
      <c r="AC13" s="84">
        <f t="shared" si="20"/>
        <v>0.88235294117647056</v>
      </c>
      <c r="AD13" s="23">
        <f t="shared" si="21"/>
        <v>12.2</v>
      </c>
      <c r="AE13" s="7">
        <f t="shared" si="21"/>
        <v>13.4</v>
      </c>
      <c r="AF13" s="83">
        <f t="shared" si="22"/>
        <v>0.98360655737704927</v>
      </c>
      <c r="AG13" s="84">
        <f t="shared" si="23"/>
        <v>0.89552238805970152</v>
      </c>
      <c r="AH13" s="23">
        <f t="shared" si="24"/>
        <v>12.2</v>
      </c>
      <c r="AI13" s="7">
        <f t="shared" si="24"/>
        <v>13.5</v>
      </c>
      <c r="AJ13" s="83">
        <f t="shared" si="25"/>
        <v>0.98360655737704927</v>
      </c>
      <c r="AK13" s="84">
        <f t="shared" si="26"/>
        <v>0.88888888888888884</v>
      </c>
      <c r="AL13" s="23">
        <f t="shared" si="27"/>
        <v>12</v>
      </c>
      <c r="AM13" s="7">
        <f t="shared" si="27"/>
        <v>13.3</v>
      </c>
      <c r="AN13" s="83">
        <f t="shared" si="28"/>
        <v>1</v>
      </c>
      <c r="AO13" s="451">
        <f t="shared" si="29"/>
        <v>0.90225563909774431</v>
      </c>
      <c r="AP13" s="457">
        <f t="shared" si="30"/>
        <v>12.1</v>
      </c>
      <c r="AQ13" s="7">
        <f t="shared" si="30"/>
        <v>12.3</v>
      </c>
      <c r="AR13" s="83">
        <f t="shared" si="31"/>
        <v>0.99173553719008267</v>
      </c>
      <c r="AS13" s="84">
        <f t="shared" si="32"/>
        <v>0.97560975609756095</v>
      </c>
      <c r="AT13" s="23">
        <f t="shared" si="33"/>
        <v>12.1</v>
      </c>
      <c r="AU13" s="7">
        <f t="shared" si="33"/>
        <v>12.3</v>
      </c>
      <c r="AV13" s="83">
        <f t="shared" si="34"/>
        <v>0.99173553719008267</v>
      </c>
      <c r="AW13" s="84">
        <f t="shared" si="35"/>
        <v>0.97560975609756095</v>
      </c>
      <c r="AX13" s="23">
        <f t="shared" si="36"/>
        <v>12.1</v>
      </c>
      <c r="AY13" s="7">
        <f t="shared" si="36"/>
        <v>12.3</v>
      </c>
      <c r="AZ13" s="83">
        <f t="shared" si="37"/>
        <v>0.99173553719008267</v>
      </c>
      <c r="BA13" s="84">
        <f t="shared" si="38"/>
        <v>0.97560975609756095</v>
      </c>
      <c r="BB13" s="23">
        <f t="shared" si="39"/>
        <v>11.9</v>
      </c>
      <c r="BC13" s="7">
        <f t="shared" si="39"/>
        <v>12.1</v>
      </c>
      <c r="BD13" s="83">
        <f t="shared" si="40"/>
        <v>1.0084033613445378</v>
      </c>
      <c r="BE13" s="84">
        <f t="shared" si="41"/>
        <v>0.99173553719008267</v>
      </c>
      <c r="BF13" s="23">
        <f t="shared" si="42"/>
        <v>12</v>
      </c>
      <c r="BG13" s="7">
        <f t="shared" si="42"/>
        <v>12.2</v>
      </c>
      <c r="BH13" s="83">
        <f t="shared" si="43"/>
        <v>1</v>
      </c>
      <c r="BI13" s="84">
        <f t="shared" si="44"/>
        <v>0.98360655737704927</v>
      </c>
      <c r="BJ13" s="23">
        <f t="shared" si="45"/>
        <v>11.8</v>
      </c>
      <c r="BK13" s="7">
        <f t="shared" si="45"/>
        <v>12</v>
      </c>
      <c r="BL13" s="83">
        <f t="shared" si="46"/>
        <v>1.0169491525423728</v>
      </c>
      <c r="BM13" s="84">
        <f t="shared" si="47"/>
        <v>1</v>
      </c>
      <c r="BN13" s="23">
        <f t="shared" si="48"/>
        <v>11.9</v>
      </c>
      <c r="BO13" s="7">
        <f t="shared" si="48"/>
        <v>12.1</v>
      </c>
      <c r="BP13" s="83">
        <f t="shared" si="49"/>
        <v>1.0084033613445378</v>
      </c>
      <c r="BQ13" s="84">
        <f t="shared" si="50"/>
        <v>0.99173553719008267</v>
      </c>
      <c r="BR13" s="23">
        <f t="shared" si="51"/>
        <v>11.7</v>
      </c>
      <c r="BS13" s="7">
        <f t="shared" si="51"/>
        <v>11.9</v>
      </c>
      <c r="BT13" s="83">
        <f t="shared" si="52"/>
        <v>1.0256410256410258</v>
      </c>
      <c r="BU13" s="84">
        <f t="shared" si="53"/>
        <v>1.0084033613445378</v>
      </c>
      <c r="BV13" s="23">
        <f t="shared" si="54"/>
        <v>11.7</v>
      </c>
      <c r="BW13" s="7">
        <f t="shared" si="54"/>
        <v>11.9</v>
      </c>
      <c r="BX13" s="83">
        <f t="shared" si="55"/>
        <v>1.0256410256410258</v>
      </c>
      <c r="BY13" s="84">
        <f t="shared" si="56"/>
        <v>1.0084033613445378</v>
      </c>
      <c r="BZ13" s="23">
        <f t="shared" si="57"/>
        <v>11.5</v>
      </c>
      <c r="CA13" s="7">
        <f t="shared" si="57"/>
        <v>11.7</v>
      </c>
      <c r="CB13" s="83">
        <f t="shared" si="58"/>
        <v>1.0434782608695652</v>
      </c>
      <c r="CC13" s="84">
        <f t="shared" si="59"/>
        <v>1.0256410256410258</v>
      </c>
      <c r="CD13" s="465"/>
      <c r="CE13" s="457">
        <f t="shared" si="60"/>
        <v>12.2</v>
      </c>
      <c r="CF13" s="23">
        <f t="shared" si="61"/>
        <v>12.2</v>
      </c>
      <c r="CG13" s="7">
        <f t="shared" si="62"/>
        <v>4.3</v>
      </c>
      <c r="CH13" s="83">
        <f t="shared" si="63"/>
        <v>0.98360655737704927</v>
      </c>
      <c r="CI13" s="459">
        <f t="shared" si="64"/>
        <v>0.98360655737704927</v>
      </c>
      <c r="CJ13" s="84">
        <f t="shared" si="65"/>
        <v>0.8179067041086181</v>
      </c>
      <c r="CK13" s="27">
        <f t="shared" si="66"/>
        <v>13</v>
      </c>
      <c r="CL13" s="23">
        <f t="shared" si="67"/>
        <v>13</v>
      </c>
      <c r="CM13" s="7">
        <f t="shared" si="68"/>
        <v>4.3</v>
      </c>
      <c r="CN13" s="83">
        <f t="shared" si="69"/>
        <v>0.92307692307692313</v>
      </c>
      <c r="CO13" s="459">
        <f t="shared" si="70"/>
        <v>0.92307692307692313</v>
      </c>
      <c r="CP13" s="84">
        <f t="shared" si="71"/>
        <v>0.8179067041086181</v>
      </c>
      <c r="CQ13" s="27">
        <f t="shared" si="72"/>
        <v>13</v>
      </c>
      <c r="CR13" s="23">
        <f t="shared" si="73"/>
        <v>13</v>
      </c>
      <c r="CS13" s="7">
        <f t="shared" si="74"/>
        <v>4.3</v>
      </c>
      <c r="CT13" s="83">
        <f t="shared" si="75"/>
        <v>0.92307692307692313</v>
      </c>
      <c r="CU13" s="459">
        <f t="shared" si="76"/>
        <v>0.92307692307692313</v>
      </c>
      <c r="CV13" s="84">
        <f t="shared" si="77"/>
        <v>0.8179067041086181</v>
      </c>
      <c r="CW13" s="27">
        <f t="shared" si="78"/>
        <v>18</v>
      </c>
      <c r="CX13" s="23">
        <f t="shared" si="79"/>
        <v>18</v>
      </c>
      <c r="CY13" s="7">
        <f t="shared" si="80"/>
        <v>3.7</v>
      </c>
      <c r="CZ13" s="83">
        <f t="shared" si="81"/>
        <v>0.66666666666666663</v>
      </c>
      <c r="DA13" s="459">
        <f t="shared" si="82"/>
        <v>0.66666666666666663</v>
      </c>
      <c r="DB13" s="84">
        <f t="shared" si="83"/>
        <v>0.95054022369379931</v>
      </c>
      <c r="DC13" s="27">
        <f t="shared" si="84"/>
        <v>18</v>
      </c>
      <c r="DD13" s="23">
        <f t="shared" si="85"/>
        <v>18</v>
      </c>
      <c r="DE13" s="7">
        <f t="shared" si="86"/>
        <v>3.7</v>
      </c>
      <c r="DF13" s="83">
        <f t="shared" si="87"/>
        <v>0.66666666666666663</v>
      </c>
      <c r="DG13" s="459">
        <f t="shared" si="88"/>
        <v>0.66666666666666663</v>
      </c>
      <c r="DH13" s="84">
        <f t="shared" si="89"/>
        <v>0.95054022369379931</v>
      </c>
      <c r="DI13" s="27">
        <f t="shared" si="90"/>
        <v>14.1</v>
      </c>
      <c r="DJ13" s="23">
        <f t="shared" si="91"/>
        <v>14.1</v>
      </c>
      <c r="DK13" s="7">
        <f t="shared" si="92"/>
        <v>3.2</v>
      </c>
      <c r="DL13" s="83">
        <f t="shared" si="93"/>
        <v>0.85106382978723405</v>
      </c>
      <c r="DM13" s="459">
        <f t="shared" si="94"/>
        <v>0.85106382978723405</v>
      </c>
      <c r="DN13" s="84">
        <f t="shared" si="95"/>
        <v>1.0990621336459554</v>
      </c>
      <c r="DO13" s="27">
        <f t="shared" si="96"/>
        <v>14.1</v>
      </c>
      <c r="DP13" s="23">
        <f t="shared" si="97"/>
        <v>14.1</v>
      </c>
      <c r="DQ13" s="7">
        <f t="shared" si="98"/>
        <v>3.2</v>
      </c>
      <c r="DR13" s="83">
        <f t="shared" si="99"/>
        <v>0.85106382978723405</v>
      </c>
      <c r="DS13" s="459">
        <f t="shared" si="100"/>
        <v>0.85106382978723405</v>
      </c>
      <c r="DT13" s="84">
        <f t="shared" si="101"/>
        <v>1.0990621336459554</v>
      </c>
      <c r="DU13" s="27">
        <f t="shared" si="102"/>
        <v>10.6</v>
      </c>
      <c r="DV13" s="23">
        <f t="shared" si="103"/>
        <v>10.6</v>
      </c>
      <c r="DW13" s="7">
        <f t="shared" si="104"/>
        <v>3.7</v>
      </c>
      <c r="DX13" s="83">
        <f t="shared" si="105"/>
        <v>1.1320754716981132</v>
      </c>
      <c r="DY13" s="459">
        <f t="shared" si="106"/>
        <v>1.1320754716981132</v>
      </c>
      <c r="DZ13" s="84">
        <f t="shared" si="107"/>
        <v>0.95054022369379931</v>
      </c>
      <c r="EA13" s="27">
        <f t="shared" si="108"/>
        <v>10.6</v>
      </c>
      <c r="EB13" s="23">
        <f t="shared" si="109"/>
        <v>10.6</v>
      </c>
      <c r="EC13" s="7">
        <f t="shared" si="110"/>
        <v>3.7</v>
      </c>
      <c r="ED13" s="83">
        <f t="shared" si="111"/>
        <v>1.1320754716981132</v>
      </c>
      <c r="EE13" s="459">
        <f t="shared" si="112"/>
        <v>1.1320754716981132</v>
      </c>
      <c r="EF13" s="84">
        <f t="shared" si="113"/>
        <v>0.95054022369379931</v>
      </c>
      <c r="EG13" s="27">
        <f t="shared" si="114"/>
        <v>16.3</v>
      </c>
      <c r="EH13" s="23">
        <f t="shared" si="115"/>
        <v>16.3</v>
      </c>
      <c r="EI13" s="7">
        <f t="shared" si="116"/>
        <v>3.1</v>
      </c>
      <c r="EJ13" s="83">
        <f t="shared" si="117"/>
        <v>0.73619631901840488</v>
      </c>
      <c r="EK13" s="459">
        <f t="shared" si="118"/>
        <v>0.73619631901840488</v>
      </c>
      <c r="EL13" s="84">
        <f t="shared" si="119"/>
        <v>1.1345157508603412</v>
      </c>
      <c r="EM13" s="27">
        <f t="shared" si="120"/>
        <v>16.3</v>
      </c>
      <c r="EN13" s="23">
        <f t="shared" si="121"/>
        <v>16.3</v>
      </c>
      <c r="EO13" s="7">
        <f t="shared" si="122"/>
        <v>3.1</v>
      </c>
      <c r="EP13" s="83">
        <f t="shared" si="123"/>
        <v>0.73619631901840488</v>
      </c>
      <c r="EQ13" s="459">
        <f t="shared" si="124"/>
        <v>0.73619631901840488</v>
      </c>
      <c r="ER13" s="84">
        <f t="shared" si="125"/>
        <v>1.1345157508603412</v>
      </c>
      <c r="ES13" s="27">
        <f t="shared" si="126"/>
        <v>12.1</v>
      </c>
      <c r="ET13" s="23">
        <f t="shared" si="127"/>
        <v>12.1</v>
      </c>
      <c r="EU13" s="7">
        <f t="shared" si="128"/>
        <v>2.5</v>
      </c>
      <c r="EV13" s="83">
        <f t="shared" si="129"/>
        <v>0.99173553719008267</v>
      </c>
      <c r="EW13" s="459">
        <f t="shared" si="130"/>
        <v>0.99173553719008267</v>
      </c>
      <c r="EX13" s="84">
        <f t="shared" si="131"/>
        <v>1.4067995310668231</v>
      </c>
      <c r="EY13" s="27">
        <f t="shared" si="132"/>
        <v>12.1</v>
      </c>
      <c r="EZ13" s="23">
        <f t="shared" si="133"/>
        <v>12.1</v>
      </c>
      <c r="FA13" s="7">
        <f t="shared" si="134"/>
        <v>2.5</v>
      </c>
      <c r="FB13" s="83">
        <f t="shared" si="135"/>
        <v>0.99173553719008267</v>
      </c>
      <c r="FC13" s="459">
        <f t="shared" si="136"/>
        <v>0.99173553719008267</v>
      </c>
      <c r="FD13" s="84">
        <f t="shared" si="137"/>
        <v>1.4067995310668231</v>
      </c>
      <c r="FE13" s="12"/>
    </row>
    <row r="14" spans="1:161" x14ac:dyDescent="0.25">
      <c r="A14" s="26">
        <v>2004</v>
      </c>
      <c r="B14" s="23">
        <f t="shared" si="0"/>
        <v>12.1</v>
      </c>
      <c r="C14" s="7">
        <f t="shared" si="0"/>
        <v>12.3</v>
      </c>
      <c r="D14" s="83">
        <f t="shared" si="1"/>
        <v>0.99173553719008267</v>
      </c>
      <c r="E14" s="84">
        <f t="shared" si="2"/>
        <v>0.97560975609756095</v>
      </c>
      <c r="F14" s="23">
        <f t="shared" si="3"/>
        <v>12.1</v>
      </c>
      <c r="G14" s="7">
        <f t="shared" si="3"/>
        <v>12.3</v>
      </c>
      <c r="H14" s="83">
        <f t="shared" si="4"/>
        <v>0.99173553719008267</v>
      </c>
      <c r="I14" s="84">
        <f t="shared" si="5"/>
        <v>0.97560975609756095</v>
      </c>
      <c r="J14" s="23">
        <f t="shared" si="6"/>
        <v>12.1</v>
      </c>
      <c r="K14" s="7">
        <f t="shared" si="6"/>
        <v>13.9</v>
      </c>
      <c r="L14" s="83">
        <f t="shared" si="7"/>
        <v>0.99173553719008267</v>
      </c>
      <c r="M14" s="84">
        <f t="shared" si="8"/>
        <v>0.86330935251798557</v>
      </c>
      <c r="N14" s="23">
        <f t="shared" si="9"/>
        <v>11.9</v>
      </c>
      <c r="O14" s="7">
        <f t="shared" si="9"/>
        <v>13.7</v>
      </c>
      <c r="P14" s="83">
        <f t="shared" si="10"/>
        <v>1.0084033613445378</v>
      </c>
      <c r="Q14" s="84">
        <f t="shared" si="11"/>
        <v>0.87591240875912413</v>
      </c>
      <c r="R14" s="23">
        <f t="shared" si="12"/>
        <v>12.5</v>
      </c>
      <c r="S14" s="7">
        <f t="shared" si="12"/>
        <v>13.9</v>
      </c>
      <c r="T14" s="83">
        <f t="shared" si="13"/>
        <v>0.96</v>
      </c>
      <c r="U14" s="84">
        <f t="shared" si="14"/>
        <v>0.86330935251798557</v>
      </c>
      <c r="V14" s="23">
        <f t="shared" si="15"/>
        <v>12.3</v>
      </c>
      <c r="W14" s="7">
        <f t="shared" si="15"/>
        <v>13.7</v>
      </c>
      <c r="X14" s="83">
        <f t="shared" si="16"/>
        <v>0.97560975609756095</v>
      </c>
      <c r="Y14" s="84">
        <f t="shared" si="17"/>
        <v>0.87591240875912413</v>
      </c>
      <c r="Z14" s="23">
        <f t="shared" si="18"/>
        <v>12.4</v>
      </c>
      <c r="AA14" s="7">
        <f t="shared" si="18"/>
        <v>13.6</v>
      </c>
      <c r="AB14" s="83">
        <f t="shared" si="19"/>
        <v>0.96774193548387089</v>
      </c>
      <c r="AC14" s="84">
        <f t="shared" si="20"/>
        <v>0.88235294117647056</v>
      </c>
      <c r="AD14" s="23">
        <f t="shared" si="21"/>
        <v>12.2</v>
      </c>
      <c r="AE14" s="7">
        <f t="shared" si="21"/>
        <v>13.4</v>
      </c>
      <c r="AF14" s="83">
        <f t="shared" si="22"/>
        <v>0.98360655737704927</v>
      </c>
      <c r="AG14" s="84">
        <f t="shared" si="23"/>
        <v>0.89552238805970152</v>
      </c>
      <c r="AH14" s="23">
        <f t="shared" si="24"/>
        <v>12.2</v>
      </c>
      <c r="AI14" s="7">
        <f t="shared" si="24"/>
        <v>13.5</v>
      </c>
      <c r="AJ14" s="83">
        <f t="shared" si="25"/>
        <v>0.98360655737704927</v>
      </c>
      <c r="AK14" s="84">
        <f t="shared" si="26"/>
        <v>0.88888888888888884</v>
      </c>
      <c r="AL14" s="23">
        <f t="shared" si="27"/>
        <v>12</v>
      </c>
      <c r="AM14" s="7">
        <f t="shared" si="27"/>
        <v>13.3</v>
      </c>
      <c r="AN14" s="83">
        <f t="shared" si="28"/>
        <v>1</v>
      </c>
      <c r="AO14" s="451">
        <f t="shared" si="29"/>
        <v>0.90225563909774431</v>
      </c>
      <c r="AP14" s="457">
        <f t="shared" si="30"/>
        <v>12.1</v>
      </c>
      <c r="AQ14" s="7">
        <f t="shared" si="30"/>
        <v>12.3</v>
      </c>
      <c r="AR14" s="83">
        <f t="shared" si="31"/>
        <v>0.99173553719008267</v>
      </c>
      <c r="AS14" s="84">
        <f t="shared" si="32"/>
        <v>0.97560975609756095</v>
      </c>
      <c r="AT14" s="23">
        <f t="shared" si="33"/>
        <v>12.1</v>
      </c>
      <c r="AU14" s="7">
        <f t="shared" si="33"/>
        <v>12.3</v>
      </c>
      <c r="AV14" s="83">
        <f t="shared" si="34"/>
        <v>0.99173553719008267</v>
      </c>
      <c r="AW14" s="84">
        <f t="shared" si="35"/>
        <v>0.97560975609756095</v>
      </c>
      <c r="AX14" s="23">
        <f t="shared" si="36"/>
        <v>12.1</v>
      </c>
      <c r="AY14" s="7">
        <f t="shared" si="36"/>
        <v>12.3</v>
      </c>
      <c r="AZ14" s="83">
        <f t="shared" si="37"/>
        <v>0.99173553719008267</v>
      </c>
      <c r="BA14" s="84">
        <f t="shared" si="38"/>
        <v>0.97560975609756095</v>
      </c>
      <c r="BB14" s="23">
        <f t="shared" si="39"/>
        <v>11.9</v>
      </c>
      <c r="BC14" s="7">
        <f t="shared" si="39"/>
        <v>12.1</v>
      </c>
      <c r="BD14" s="83">
        <f t="shared" si="40"/>
        <v>1.0084033613445378</v>
      </c>
      <c r="BE14" s="84">
        <f t="shared" si="41"/>
        <v>0.99173553719008267</v>
      </c>
      <c r="BF14" s="23">
        <f t="shared" si="42"/>
        <v>12</v>
      </c>
      <c r="BG14" s="7">
        <f t="shared" si="42"/>
        <v>12.2</v>
      </c>
      <c r="BH14" s="83">
        <f t="shared" si="43"/>
        <v>1</v>
      </c>
      <c r="BI14" s="84">
        <f t="shared" si="44"/>
        <v>0.98360655737704927</v>
      </c>
      <c r="BJ14" s="23">
        <f t="shared" si="45"/>
        <v>11.8</v>
      </c>
      <c r="BK14" s="7">
        <f t="shared" si="45"/>
        <v>12</v>
      </c>
      <c r="BL14" s="83">
        <f t="shared" si="46"/>
        <v>1.0169491525423728</v>
      </c>
      <c r="BM14" s="84">
        <f t="shared" si="47"/>
        <v>1</v>
      </c>
      <c r="BN14" s="23">
        <f t="shared" si="48"/>
        <v>11.9</v>
      </c>
      <c r="BO14" s="7">
        <f t="shared" si="48"/>
        <v>12.1</v>
      </c>
      <c r="BP14" s="83">
        <f t="shared" si="49"/>
        <v>1.0084033613445378</v>
      </c>
      <c r="BQ14" s="84">
        <f t="shared" si="50"/>
        <v>0.99173553719008267</v>
      </c>
      <c r="BR14" s="23">
        <f t="shared" si="51"/>
        <v>11.7</v>
      </c>
      <c r="BS14" s="7">
        <f t="shared" si="51"/>
        <v>11.9</v>
      </c>
      <c r="BT14" s="83">
        <f t="shared" si="52"/>
        <v>1.0256410256410258</v>
      </c>
      <c r="BU14" s="84">
        <f t="shared" si="53"/>
        <v>1.0084033613445378</v>
      </c>
      <c r="BV14" s="23">
        <f t="shared" si="54"/>
        <v>11.7</v>
      </c>
      <c r="BW14" s="7">
        <f t="shared" si="54"/>
        <v>11.9</v>
      </c>
      <c r="BX14" s="83">
        <f t="shared" si="55"/>
        <v>1.0256410256410258</v>
      </c>
      <c r="BY14" s="84">
        <f t="shared" si="56"/>
        <v>1.0084033613445378</v>
      </c>
      <c r="BZ14" s="23">
        <f t="shared" si="57"/>
        <v>11.5</v>
      </c>
      <c r="CA14" s="7">
        <f t="shared" si="57"/>
        <v>11.7</v>
      </c>
      <c r="CB14" s="83">
        <f t="shared" si="58"/>
        <v>1.0434782608695652</v>
      </c>
      <c r="CC14" s="84">
        <f t="shared" si="59"/>
        <v>1.0256410256410258</v>
      </c>
      <c r="CD14" s="465"/>
      <c r="CE14" s="457">
        <f t="shared" si="60"/>
        <v>12.2</v>
      </c>
      <c r="CF14" s="23">
        <f t="shared" si="61"/>
        <v>12.2</v>
      </c>
      <c r="CG14" s="7">
        <f t="shared" si="62"/>
        <v>4.3</v>
      </c>
      <c r="CH14" s="83">
        <f t="shared" si="63"/>
        <v>0.98360655737704927</v>
      </c>
      <c r="CI14" s="459">
        <f t="shared" si="64"/>
        <v>0.98360655737704927</v>
      </c>
      <c r="CJ14" s="84">
        <f t="shared" si="65"/>
        <v>0.8179067041086181</v>
      </c>
      <c r="CK14" s="27">
        <f t="shared" si="66"/>
        <v>13</v>
      </c>
      <c r="CL14" s="23">
        <f t="shared" si="67"/>
        <v>13</v>
      </c>
      <c r="CM14" s="7">
        <f t="shared" si="68"/>
        <v>4.3</v>
      </c>
      <c r="CN14" s="83">
        <f t="shared" si="69"/>
        <v>0.92307692307692313</v>
      </c>
      <c r="CO14" s="459">
        <f t="shared" si="70"/>
        <v>0.92307692307692313</v>
      </c>
      <c r="CP14" s="84">
        <f t="shared" si="71"/>
        <v>0.8179067041086181</v>
      </c>
      <c r="CQ14" s="27">
        <f t="shared" si="72"/>
        <v>13</v>
      </c>
      <c r="CR14" s="23">
        <f t="shared" si="73"/>
        <v>13</v>
      </c>
      <c r="CS14" s="7">
        <f t="shared" si="74"/>
        <v>4.3</v>
      </c>
      <c r="CT14" s="83">
        <f t="shared" si="75"/>
        <v>0.92307692307692313</v>
      </c>
      <c r="CU14" s="459">
        <f t="shared" si="76"/>
        <v>0.92307692307692313</v>
      </c>
      <c r="CV14" s="84">
        <f t="shared" si="77"/>
        <v>0.8179067041086181</v>
      </c>
      <c r="CW14" s="27">
        <f t="shared" si="78"/>
        <v>18</v>
      </c>
      <c r="CX14" s="23">
        <f t="shared" si="79"/>
        <v>18</v>
      </c>
      <c r="CY14" s="7">
        <f t="shared" si="80"/>
        <v>3.7</v>
      </c>
      <c r="CZ14" s="83">
        <f t="shared" si="81"/>
        <v>0.66666666666666663</v>
      </c>
      <c r="DA14" s="459">
        <f t="shared" si="82"/>
        <v>0.66666666666666663</v>
      </c>
      <c r="DB14" s="84">
        <f t="shared" si="83"/>
        <v>0.95054022369379931</v>
      </c>
      <c r="DC14" s="27">
        <f t="shared" si="84"/>
        <v>18</v>
      </c>
      <c r="DD14" s="23">
        <f t="shared" si="85"/>
        <v>18</v>
      </c>
      <c r="DE14" s="7">
        <f t="shared" si="86"/>
        <v>3.7</v>
      </c>
      <c r="DF14" s="83">
        <f t="shared" si="87"/>
        <v>0.66666666666666663</v>
      </c>
      <c r="DG14" s="459">
        <f t="shared" si="88"/>
        <v>0.66666666666666663</v>
      </c>
      <c r="DH14" s="84">
        <f t="shared" si="89"/>
        <v>0.95054022369379931</v>
      </c>
      <c r="DI14" s="27">
        <f t="shared" si="90"/>
        <v>14.1</v>
      </c>
      <c r="DJ14" s="23">
        <f t="shared" si="91"/>
        <v>14.1</v>
      </c>
      <c r="DK14" s="7">
        <f t="shared" si="92"/>
        <v>3.2</v>
      </c>
      <c r="DL14" s="83">
        <f t="shared" si="93"/>
        <v>0.85106382978723405</v>
      </c>
      <c r="DM14" s="459">
        <f t="shared" si="94"/>
        <v>0.85106382978723405</v>
      </c>
      <c r="DN14" s="84">
        <f t="shared" si="95"/>
        <v>1.0990621336459554</v>
      </c>
      <c r="DO14" s="27">
        <f t="shared" si="96"/>
        <v>14.1</v>
      </c>
      <c r="DP14" s="23">
        <f t="shared" si="97"/>
        <v>14.1</v>
      </c>
      <c r="DQ14" s="7">
        <f t="shared" si="98"/>
        <v>3.2</v>
      </c>
      <c r="DR14" s="83">
        <f t="shared" si="99"/>
        <v>0.85106382978723405</v>
      </c>
      <c r="DS14" s="459">
        <f t="shared" si="100"/>
        <v>0.85106382978723405</v>
      </c>
      <c r="DT14" s="84">
        <f t="shared" si="101"/>
        <v>1.0990621336459554</v>
      </c>
      <c r="DU14" s="27">
        <f t="shared" si="102"/>
        <v>10.6</v>
      </c>
      <c r="DV14" s="23">
        <f t="shared" si="103"/>
        <v>10.6</v>
      </c>
      <c r="DW14" s="7">
        <f t="shared" si="104"/>
        <v>3.7</v>
      </c>
      <c r="DX14" s="83">
        <f t="shared" si="105"/>
        <v>1.1320754716981132</v>
      </c>
      <c r="DY14" s="459">
        <f t="shared" si="106"/>
        <v>1.1320754716981132</v>
      </c>
      <c r="DZ14" s="84">
        <f t="shared" si="107"/>
        <v>0.95054022369379931</v>
      </c>
      <c r="EA14" s="27">
        <f t="shared" si="108"/>
        <v>10.6</v>
      </c>
      <c r="EB14" s="23">
        <f t="shared" si="109"/>
        <v>10.6</v>
      </c>
      <c r="EC14" s="7">
        <f t="shared" si="110"/>
        <v>3.7</v>
      </c>
      <c r="ED14" s="83">
        <f t="shared" si="111"/>
        <v>1.1320754716981132</v>
      </c>
      <c r="EE14" s="459">
        <f t="shared" si="112"/>
        <v>1.1320754716981132</v>
      </c>
      <c r="EF14" s="84">
        <f t="shared" si="113"/>
        <v>0.95054022369379931</v>
      </c>
      <c r="EG14" s="27">
        <f t="shared" si="114"/>
        <v>16.3</v>
      </c>
      <c r="EH14" s="23">
        <f t="shared" si="115"/>
        <v>16.3</v>
      </c>
      <c r="EI14" s="7">
        <f t="shared" si="116"/>
        <v>3.1</v>
      </c>
      <c r="EJ14" s="83">
        <f t="shared" si="117"/>
        <v>0.73619631901840488</v>
      </c>
      <c r="EK14" s="459">
        <f t="shared" si="118"/>
        <v>0.73619631901840488</v>
      </c>
      <c r="EL14" s="84">
        <f t="shared" si="119"/>
        <v>1.1345157508603412</v>
      </c>
      <c r="EM14" s="27">
        <f t="shared" si="120"/>
        <v>16.3</v>
      </c>
      <c r="EN14" s="23">
        <f t="shared" si="121"/>
        <v>16.3</v>
      </c>
      <c r="EO14" s="7">
        <f t="shared" si="122"/>
        <v>3.1</v>
      </c>
      <c r="EP14" s="83">
        <f t="shared" si="123"/>
        <v>0.73619631901840488</v>
      </c>
      <c r="EQ14" s="459">
        <f t="shared" si="124"/>
        <v>0.73619631901840488</v>
      </c>
      <c r="ER14" s="84">
        <f t="shared" si="125"/>
        <v>1.1345157508603412</v>
      </c>
      <c r="ES14" s="27">
        <f t="shared" si="126"/>
        <v>12.1</v>
      </c>
      <c r="ET14" s="23">
        <f t="shared" si="127"/>
        <v>12.1</v>
      </c>
      <c r="EU14" s="7">
        <f t="shared" si="128"/>
        <v>2.5</v>
      </c>
      <c r="EV14" s="83">
        <f t="shared" si="129"/>
        <v>0.99173553719008267</v>
      </c>
      <c r="EW14" s="459">
        <f t="shared" si="130"/>
        <v>0.99173553719008267</v>
      </c>
      <c r="EX14" s="84">
        <f t="shared" si="131"/>
        <v>1.4067995310668231</v>
      </c>
      <c r="EY14" s="27">
        <f t="shared" si="132"/>
        <v>12.1</v>
      </c>
      <c r="EZ14" s="23">
        <f t="shared" si="133"/>
        <v>12.1</v>
      </c>
      <c r="FA14" s="7">
        <f t="shared" si="134"/>
        <v>2.5</v>
      </c>
      <c r="FB14" s="83">
        <f t="shared" si="135"/>
        <v>0.99173553719008267</v>
      </c>
      <c r="FC14" s="459">
        <f t="shared" si="136"/>
        <v>0.99173553719008267</v>
      </c>
      <c r="FD14" s="84">
        <f t="shared" si="137"/>
        <v>1.4067995310668231</v>
      </c>
      <c r="FE14" s="12"/>
    </row>
    <row r="15" spans="1:161" x14ac:dyDescent="0.25">
      <c r="A15" s="26">
        <v>2005</v>
      </c>
      <c r="B15" s="23">
        <f t="shared" si="0"/>
        <v>12.1</v>
      </c>
      <c r="C15" s="7">
        <f t="shared" si="0"/>
        <v>12.3</v>
      </c>
      <c r="D15" s="83">
        <f t="shared" si="1"/>
        <v>0.99173553719008267</v>
      </c>
      <c r="E15" s="84">
        <f t="shared" si="2"/>
        <v>0.97560975609756095</v>
      </c>
      <c r="F15" s="23">
        <f t="shared" si="3"/>
        <v>12.1</v>
      </c>
      <c r="G15" s="7">
        <f t="shared" si="3"/>
        <v>12.3</v>
      </c>
      <c r="H15" s="83">
        <f t="shared" si="4"/>
        <v>0.99173553719008267</v>
      </c>
      <c r="I15" s="84">
        <f t="shared" si="5"/>
        <v>0.97560975609756095</v>
      </c>
      <c r="J15" s="23">
        <f t="shared" si="6"/>
        <v>12.1</v>
      </c>
      <c r="K15" s="7">
        <f t="shared" si="6"/>
        <v>13.9</v>
      </c>
      <c r="L15" s="83">
        <f t="shared" si="7"/>
        <v>0.99173553719008267</v>
      </c>
      <c r="M15" s="84">
        <f t="shared" si="8"/>
        <v>0.86330935251798557</v>
      </c>
      <c r="N15" s="23">
        <f t="shared" si="9"/>
        <v>11.9</v>
      </c>
      <c r="O15" s="7">
        <f t="shared" si="9"/>
        <v>13.7</v>
      </c>
      <c r="P15" s="83">
        <f t="shared" si="10"/>
        <v>1.0084033613445378</v>
      </c>
      <c r="Q15" s="84">
        <f t="shared" si="11"/>
        <v>0.87591240875912413</v>
      </c>
      <c r="R15" s="23">
        <f t="shared" si="12"/>
        <v>12.5</v>
      </c>
      <c r="S15" s="7">
        <f t="shared" si="12"/>
        <v>13.9</v>
      </c>
      <c r="T15" s="83">
        <f t="shared" si="13"/>
        <v>0.96</v>
      </c>
      <c r="U15" s="84">
        <f t="shared" si="14"/>
        <v>0.86330935251798557</v>
      </c>
      <c r="V15" s="23">
        <f t="shared" si="15"/>
        <v>12.3</v>
      </c>
      <c r="W15" s="7">
        <f t="shared" si="15"/>
        <v>13.7</v>
      </c>
      <c r="X15" s="83">
        <f t="shared" si="16"/>
        <v>0.97560975609756095</v>
      </c>
      <c r="Y15" s="84">
        <f t="shared" si="17"/>
        <v>0.87591240875912413</v>
      </c>
      <c r="Z15" s="23">
        <f t="shared" si="18"/>
        <v>12.4</v>
      </c>
      <c r="AA15" s="7">
        <f t="shared" si="18"/>
        <v>13.6</v>
      </c>
      <c r="AB15" s="83">
        <f t="shared" si="19"/>
        <v>0.96774193548387089</v>
      </c>
      <c r="AC15" s="84">
        <f t="shared" si="20"/>
        <v>0.88235294117647056</v>
      </c>
      <c r="AD15" s="23">
        <f t="shared" si="21"/>
        <v>12.2</v>
      </c>
      <c r="AE15" s="7">
        <f t="shared" si="21"/>
        <v>13.4</v>
      </c>
      <c r="AF15" s="83">
        <f t="shared" si="22"/>
        <v>0.98360655737704927</v>
      </c>
      <c r="AG15" s="84">
        <f t="shared" si="23"/>
        <v>0.89552238805970152</v>
      </c>
      <c r="AH15" s="23">
        <f t="shared" si="24"/>
        <v>12.2</v>
      </c>
      <c r="AI15" s="7">
        <f t="shared" si="24"/>
        <v>13.5</v>
      </c>
      <c r="AJ15" s="83">
        <f t="shared" si="25"/>
        <v>0.98360655737704927</v>
      </c>
      <c r="AK15" s="84">
        <f t="shared" si="26"/>
        <v>0.88888888888888884</v>
      </c>
      <c r="AL15" s="23">
        <f t="shared" si="27"/>
        <v>12</v>
      </c>
      <c r="AM15" s="7">
        <f t="shared" si="27"/>
        <v>13.3</v>
      </c>
      <c r="AN15" s="83">
        <f t="shared" si="28"/>
        <v>1</v>
      </c>
      <c r="AO15" s="451">
        <f t="shared" si="29"/>
        <v>0.90225563909774431</v>
      </c>
      <c r="AP15" s="457">
        <f t="shared" si="30"/>
        <v>12.1</v>
      </c>
      <c r="AQ15" s="7">
        <f t="shared" si="30"/>
        <v>12.3</v>
      </c>
      <c r="AR15" s="83">
        <f t="shared" si="31"/>
        <v>0.99173553719008267</v>
      </c>
      <c r="AS15" s="84">
        <f t="shared" si="32"/>
        <v>0.97560975609756095</v>
      </c>
      <c r="AT15" s="23">
        <f t="shared" si="33"/>
        <v>12.1</v>
      </c>
      <c r="AU15" s="7">
        <f t="shared" si="33"/>
        <v>12.3</v>
      </c>
      <c r="AV15" s="83">
        <f t="shared" si="34"/>
        <v>0.99173553719008267</v>
      </c>
      <c r="AW15" s="84">
        <f t="shared" si="35"/>
        <v>0.97560975609756095</v>
      </c>
      <c r="AX15" s="23">
        <f t="shared" si="36"/>
        <v>12.1</v>
      </c>
      <c r="AY15" s="7">
        <f t="shared" si="36"/>
        <v>12.3</v>
      </c>
      <c r="AZ15" s="83">
        <f t="shared" si="37"/>
        <v>0.99173553719008267</v>
      </c>
      <c r="BA15" s="84">
        <f t="shared" si="38"/>
        <v>0.97560975609756095</v>
      </c>
      <c r="BB15" s="23">
        <f t="shared" si="39"/>
        <v>11.9</v>
      </c>
      <c r="BC15" s="7">
        <f t="shared" si="39"/>
        <v>12.1</v>
      </c>
      <c r="BD15" s="83">
        <f t="shared" si="40"/>
        <v>1.0084033613445378</v>
      </c>
      <c r="BE15" s="84">
        <f t="shared" si="41"/>
        <v>0.99173553719008267</v>
      </c>
      <c r="BF15" s="23">
        <f t="shared" si="42"/>
        <v>12</v>
      </c>
      <c r="BG15" s="7">
        <f t="shared" si="42"/>
        <v>12.2</v>
      </c>
      <c r="BH15" s="83">
        <f t="shared" si="43"/>
        <v>1</v>
      </c>
      <c r="BI15" s="84">
        <f t="shared" si="44"/>
        <v>0.98360655737704927</v>
      </c>
      <c r="BJ15" s="23">
        <f t="shared" si="45"/>
        <v>11.8</v>
      </c>
      <c r="BK15" s="7">
        <f t="shared" si="45"/>
        <v>12</v>
      </c>
      <c r="BL15" s="83">
        <f t="shared" si="46"/>
        <v>1.0169491525423728</v>
      </c>
      <c r="BM15" s="84">
        <f t="shared" si="47"/>
        <v>1</v>
      </c>
      <c r="BN15" s="23">
        <f t="shared" si="48"/>
        <v>11.9</v>
      </c>
      <c r="BO15" s="7">
        <f t="shared" si="48"/>
        <v>12.1</v>
      </c>
      <c r="BP15" s="83">
        <f t="shared" si="49"/>
        <v>1.0084033613445378</v>
      </c>
      <c r="BQ15" s="84">
        <f t="shared" si="50"/>
        <v>0.99173553719008267</v>
      </c>
      <c r="BR15" s="23">
        <f t="shared" si="51"/>
        <v>11.7</v>
      </c>
      <c r="BS15" s="7">
        <f t="shared" si="51"/>
        <v>11.9</v>
      </c>
      <c r="BT15" s="83">
        <f t="shared" si="52"/>
        <v>1.0256410256410258</v>
      </c>
      <c r="BU15" s="84">
        <f t="shared" si="53"/>
        <v>1.0084033613445378</v>
      </c>
      <c r="BV15" s="23">
        <f t="shared" si="54"/>
        <v>11.7</v>
      </c>
      <c r="BW15" s="7">
        <f t="shared" si="54"/>
        <v>11.9</v>
      </c>
      <c r="BX15" s="83">
        <f t="shared" si="55"/>
        <v>1.0256410256410258</v>
      </c>
      <c r="BY15" s="84">
        <f t="shared" si="56"/>
        <v>1.0084033613445378</v>
      </c>
      <c r="BZ15" s="23">
        <f t="shared" si="57"/>
        <v>11.5</v>
      </c>
      <c r="CA15" s="7">
        <f t="shared" si="57"/>
        <v>11.7</v>
      </c>
      <c r="CB15" s="83">
        <f t="shared" si="58"/>
        <v>1.0434782608695652</v>
      </c>
      <c r="CC15" s="84">
        <f t="shared" si="59"/>
        <v>1.0256410256410258</v>
      </c>
      <c r="CD15" s="465"/>
      <c r="CE15" s="457">
        <f t="shared" si="60"/>
        <v>12.2</v>
      </c>
      <c r="CF15" s="23">
        <f t="shared" si="61"/>
        <v>12.2</v>
      </c>
      <c r="CG15" s="7">
        <f t="shared" si="62"/>
        <v>4.3</v>
      </c>
      <c r="CH15" s="83">
        <f t="shared" si="63"/>
        <v>0.98360655737704927</v>
      </c>
      <c r="CI15" s="459">
        <f t="shared" si="64"/>
        <v>0.98360655737704927</v>
      </c>
      <c r="CJ15" s="84">
        <f t="shared" si="65"/>
        <v>0.8179067041086181</v>
      </c>
      <c r="CK15" s="27">
        <f t="shared" si="66"/>
        <v>13</v>
      </c>
      <c r="CL15" s="23">
        <f t="shared" si="67"/>
        <v>13</v>
      </c>
      <c r="CM15" s="7">
        <f t="shared" si="68"/>
        <v>4.3</v>
      </c>
      <c r="CN15" s="83">
        <f t="shared" si="69"/>
        <v>0.92307692307692313</v>
      </c>
      <c r="CO15" s="459">
        <f t="shared" si="70"/>
        <v>0.92307692307692313</v>
      </c>
      <c r="CP15" s="84">
        <f t="shared" si="71"/>
        <v>0.8179067041086181</v>
      </c>
      <c r="CQ15" s="27">
        <f t="shared" si="72"/>
        <v>13</v>
      </c>
      <c r="CR15" s="23">
        <f t="shared" si="73"/>
        <v>13</v>
      </c>
      <c r="CS15" s="7">
        <f t="shared" si="74"/>
        <v>4.3</v>
      </c>
      <c r="CT15" s="83">
        <f t="shared" si="75"/>
        <v>0.92307692307692313</v>
      </c>
      <c r="CU15" s="459">
        <f t="shared" si="76"/>
        <v>0.92307692307692313</v>
      </c>
      <c r="CV15" s="84">
        <f t="shared" si="77"/>
        <v>0.8179067041086181</v>
      </c>
      <c r="CW15" s="27">
        <f t="shared" si="78"/>
        <v>18</v>
      </c>
      <c r="CX15" s="23">
        <f t="shared" si="79"/>
        <v>18</v>
      </c>
      <c r="CY15" s="7">
        <f t="shared" si="80"/>
        <v>3.7</v>
      </c>
      <c r="CZ15" s="83">
        <f t="shared" si="81"/>
        <v>0.66666666666666663</v>
      </c>
      <c r="DA15" s="459">
        <f t="shared" si="82"/>
        <v>0.66666666666666663</v>
      </c>
      <c r="DB15" s="84">
        <f t="shared" si="83"/>
        <v>0.95054022369379931</v>
      </c>
      <c r="DC15" s="27">
        <f t="shared" si="84"/>
        <v>18</v>
      </c>
      <c r="DD15" s="23">
        <f t="shared" si="85"/>
        <v>18</v>
      </c>
      <c r="DE15" s="7">
        <f t="shared" si="86"/>
        <v>3.7</v>
      </c>
      <c r="DF15" s="83">
        <f t="shared" si="87"/>
        <v>0.66666666666666663</v>
      </c>
      <c r="DG15" s="459">
        <f t="shared" si="88"/>
        <v>0.66666666666666663</v>
      </c>
      <c r="DH15" s="84">
        <f t="shared" si="89"/>
        <v>0.95054022369379931</v>
      </c>
      <c r="DI15" s="27">
        <f t="shared" si="90"/>
        <v>14.1</v>
      </c>
      <c r="DJ15" s="23">
        <f t="shared" si="91"/>
        <v>14.1</v>
      </c>
      <c r="DK15" s="7">
        <f t="shared" si="92"/>
        <v>3.2</v>
      </c>
      <c r="DL15" s="83">
        <f t="shared" si="93"/>
        <v>0.85106382978723405</v>
      </c>
      <c r="DM15" s="459">
        <f t="shared" si="94"/>
        <v>0.85106382978723405</v>
      </c>
      <c r="DN15" s="84">
        <f t="shared" si="95"/>
        <v>1.0990621336459554</v>
      </c>
      <c r="DO15" s="27">
        <f t="shared" si="96"/>
        <v>14.1</v>
      </c>
      <c r="DP15" s="23">
        <f t="shared" si="97"/>
        <v>14.1</v>
      </c>
      <c r="DQ15" s="7">
        <f t="shared" si="98"/>
        <v>3.2</v>
      </c>
      <c r="DR15" s="83">
        <f t="shared" si="99"/>
        <v>0.85106382978723405</v>
      </c>
      <c r="DS15" s="459">
        <f t="shared" si="100"/>
        <v>0.85106382978723405</v>
      </c>
      <c r="DT15" s="84">
        <f t="shared" si="101"/>
        <v>1.0990621336459554</v>
      </c>
      <c r="DU15" s="27">
        <f t="shared" si="102"/>
        <v>10.6</v>
      </c>
      <c r="DV15" s="23">
        <f t="shared" si="103"/>
        <v>10.6</v>
      </c>
      <c r="DW15" s="7">
        <f t="shared" si="104"/>
        <v>3.7</v>
      </c>
      <c r="DX15" s="83">
        <f t="shared" si="105"/>
        <v>1.1320754716981132</v>
      </c>
      <c r="DY15" s="459">
        <f t="shared" si="106"/>
        <v>1.1320754716981132</v>
      </c>
      <c r="DZ15" s="84">
        <f t="shared" si="107"/>
        <v>0.95054022369379931</v>
      </c>
      <c r="EA15" s="27">
        <f t="shared" si="108"/>
        <v>10.6</v>
      </c>
      <c r="EB15" s="23">
        <f t="shared" si="109"/>
        <v>10.6</v>
      </c>
      <c r="EC15" s="7">
        <f t="shared" si="110"/>
        <v>3.7</v>
      </c>
      <c r="ED15" s="83">
        <f t="shared" si="111"/>
        <v>1.1320754716981132</v>
      </c>
      <c r="EE15" s="459">
        <f t="shared" si="112"/>
        <v>1.1320754716981132</v>
      </c>
      <c r="EF15" s="84">
        <f t="shared" si="113"/>
        <v>0.95054022369379931</v>
      </c>
      <c r="EG15" s="27">
        <f t="shared" si="114"/>
        <v>16.3</v>
      </c>
      <c r="EH15" s="23">
        <f t="shared" si="115"/>
        <v>16.3</v>
      </c>
      <c r="EI15" s="7">
        <f t="shared" si="116"/>
        <v>3.1</v>
      </c>
      <c r="EJ15" s="83">
        <f t="shared" si="117"/>
        <v>0.73619631901840488</v>
      </c>
      <c r="EK15" s="459">
        <f t="shared" si="118"/>
        <v>0.73619631901840488</v>
      </c>
      <c r="EL15" s="84">
        <f t="shared" si="119"/>
        <v>1.1345157508603412</v>
      </c>
      <c r="EM15" s="27">
        <f t="shared" si="120"/>
        <v>16.3</v>
      </c>
      <c r="EN15" s="23">
        <f t="shared" si="121"/>
        <v>16.3</v>
      </c>
      <c r="EO15" s="7">
        <f t="shared" si="122"/>
        <v>3.1</v>
      </c>
      <c r="EP15" s="83">
        <f t="shared" si="123"/>
        <v>0.73619631901840488</v>
      </c>
      <c r="EQ15" s="459">
        <f t="shared" si="124"/>
        <v>0.73619631901840488</v>
      </c>
      <c r="ER15" s="84">
        <f t="shared" si="125"/>
        <v>1.1345157508603412</v>
      </c>
      <c r="ES15" s="27">
        <f t="shared" si="126"/>
        <v>12.1</v>
      </c>
      <c r="ET15" s="23">
        <f t="shared" si="127"/>
        <v>12.1</v>
      </c>
      <c r="EU15" s="7">
        <f t="shared" si="128"/>
        <v>2.5</v>
      </c>
      <c r="EV15" s="83">
        <f t="shared" si="129"/>
        <v>0.99173553719008267</v>
      </c>
      <c r="EW15" s="459">
        <f t="shared" si="130"/>
        <v>0.99173553719008267</v>
      </c>
      <c r="EX15" s="84">
        <f t="shared" si="131"/>
        <v>1.4067995310668231</v>
      </c>
      <c r="EY15" s="27">
        <f t="shared" si="132"/>
        <v>12.1</v>
      </c>
      <c r="EZ15" s="23">
        <f t="shared" si="133"/>
        <v>12.1</v>
      </c>
      <c r="FA15" s="7">
        <f t="shared" si="134"/>
        <v>2.5</v>
      </c>
      <c r="FB15" s="83">
        <f t="shared" si="135"/>
        <v>0.99173553719008267</v>
      </c>
      <c r="FC15" s="459">
        <f t="shared" si="136"/>
        <v>0.99173553719008267</v>
      </c>
      <c r="FD15" s="84">
        <f t="shared" si="137"/>
        <v>1.4067995310668231</v>
      </c>
      <c r="FE15" s="12"/>
    </row>
    <row r="16" spans="1:161" x14ac:dyDescent="0.25">
      <c r="A16" s="26">
        <v>2006</v>
      </c>
      <c r="B16" s="23">
        <f t="shared" si="0"/>
        <v>12.1</v>
      </c>
      <c r="C16" s="7">
        <f t="shared" si="0"/>
        <v>12.3</v>
      </c>
      <c r="D16" s="83">
        <f t="shared" si="1"/>
        <v>0.99173553719008267</v>
      </c>
      <c r="E16" s="84">
        <f t="shared" si="2"/>
        <v>0.97560975609756095</v>
      </c>
      <c r="F16" s="23">
        <f t="shared" si="3"/>
        <v>12.1</v>
      </c>
      <c r="G16" s="7">
        <f t="shared" si="3"/>
        <v>12.3</v>
      </c>
      <c r="H16" s="83">
        <f t="shared" si="4"/>
        <v>0.99173553719008267</v>
      </c>
      <c r="I16" s="84">
        <f t="shared" si="5"/>
        <v>0.97560975609756095</v>
      </c>
      <c r="J16" s="23">
        <f t="shared" si="6"/>
        <v>12.1</v>
      </c>
      <c r="K16" s="7">
        <f t="shared" si="6"/>
        <v>13.9</v>
      </c>
      <c r="L16" s="83">
        <f t="shared" si="7"/>
        <v>0.99173553719008267</v>
      </c>
      <c r="M16" s="84">
        <f t="shared" si="8"/>
        <v>0.86330935251798557</v>
      </c>
      <c r="N16" s="23">
        <f t="shared" si="9"/>
        <v>11.9</v>
      </c>
      <c r="O16" s="7">
        <f t="shared" si="9"/>
        <v>13.7</v>
      </c>
      <c r="P16" s="83">
        <f t="shared" si="10"/>
        <v>1.0084033613445378</v>
      </c>
      <c r="Q16" s="84">
        <f t="shared" si="11"/>
        <v>0.87591240875912413</v>
      </c>
      <c r="R16" s="23">
        <f t="shared" si="12"/>
        <v>12.5</v>
      </c>
      <c r="S16" s="7">
        <f t="shared" si="12"/>
        <v>13.9</v>
      </c>
      <c r="T16" s="83">
        <f t="shared" si="13"/>
        <v>0.96</v>
      </c>
      <c r="U16" s="84">
        <f t="shared" si="14"/>
        <v>0.86330935251798557</v>
      </c>
      <c r="V16" s="23">
        <f t="shared" si="15"/>
        <v>12.3</v>
      </c>
      <c r="W16" s="7">
        <f t="shared" si="15"/>
        <v>13.7</v>
      </c>
      <c r="X16" s="83">
        <f t="shared" si="16"/>
        <v>0.97560975609756095</v>
      </c>
      <c r="Y16" s="84">
        <f t="shared" si="17"/>
        <v>0.87591240875912413</v>
      </c>
      <c r="Z16" s="23">
        <f t="shared" si="18"/>
        <v>12.4</v>
      </c>
      <c r="AA16" s="7">
        <f t="shared" si="18"/>
        <v>13.6</v>
      </c>
      <c r="AB16" s="83">
        <f t="shared" si="19"/>
        <v>0.96774193548387089</v>
      </c>
      <c r="AC16" s="84">
        <f t="shared" si="20"/>
        <v>0.88235294117647056</v>
      </c>
      <c r="AD16" s="23">
        <f t="shared" si="21"/>
        <v>12.2</v>
      </c>
      <c r="AE16" s="7">
        <f t="shared" si="21"/>
        <v>13.4</v>
      </c>
      <c r="AF16" s="83">
        <f t="shared" si="22"/>
        <v>0.98360655737704927</v>
      </c>
      <c r="AG16" s="84">
        <f t="shared" si="23"/>
        <v>0.89552238805970152</v>
      </c>
      <c r="AH16" s="23">
        <f t="shared" si="24"/>
        <v>12.2</v>
      </c>
      <c r="AI16" s="7">
        <f t="shared" si="24"/>
        <v>13.5</v>
      </c>
      <c r="AJ16" s="83">
        <f t="shared" si="25"/>
        <v>0.98360655737704927</v>
      </c>
      <c r="AK16" s="84">
        <f t="shared" si="26"/>
        <v>0.88888888888888884</v>
      </c>
      <c r="AL16" s="23">
        <f t="shared" si="27"/>
        <v>12</v>
      </c>
      <c r="AM16" s="7">
        <f t="shared" si="27"/>
        <v>13.3</v>
      </c>
      <c r="AN16" s="83">
        <f t="shared" si="28"/>
        <v>1</v>
      </c>
      <c r="AO16" s="451">
        <f t="shared" si="29"/>
        <v>0.90225563909774431</v>
      </c>
      <c r="AP16" s="457">
        <f t="shared" si="30"/>
        <v>12.1</v>
      </c>
      <c r="AQ16" s="7">
        <f t="shared" si="30"/>
        <v>12.3</v>
      </c>
      <c r="AR16" s="83">
        <f t="shared" si="31"/>
        <v>0.99173553719008267</v>
      </c>
      <c r="AS16" s="84">
        <f t="shared" si="32"/>
        <v>0.97560975609756095</v>
      </c>
      <c r="AT16" s="23">
        <f t="shared" si="33"/>
        <v>12.1</v>
      </c>
      <c r="AU16" s="7">
        <f t="shared" si="33"/>
        <v>12.3</v>
      </c>
      <c r="AV16" s="83">
        <f t="shared" si="34"/>
        <v>0.99173553719008267</v>
      </c>
      <c r="AW16" s="84">
        <f t="shared" si="35"/>
        <v>0.97560975609756095</v>
      </c>
      <c r="AX16" s="23">
        <f t="shared" si="36"/>
        <v>12.1</v>
      </c>
      <c r="AY16" s="7">
        <f t="shared" si="36"/>
        <v>12.3</v>
      </c>
      <c r="AZ16" s="83">
        <f t="shared" si="37"/>
        <v>0.99173553719008267</v>
      </c>
      <c r="BA16" s="84">
        <f t="shared" si="38"/>
        <v>0.97560975609756095</v>
      </c>
      <c r="BB16" s="23">
        <f t="shared" si="39"/>
        <v>11.9</v>
      </c>
      <c r="BC16" s="7">
        <f t="shared" si="39"/>
        <v>12.1</v>
      </c>
      <c r="BD16" s="83">
        <f t="shared" si="40"/>
        <v>1.0084033613445378</v>
      </c>
      <c r="BE16" s="84">
        <f t="shared" si="41"/>
        <v>0.99173553719008267</v>
      </c>
      <c r="BF16" s="23">
        <f t="shared" si="42"/>
        <v>12</v>
      </c>
      <c r="BG16" s="7">
        <f t="shared" si="42"/>
        <v>12.2</v>
      </c>
      <c r="BH16" s="83">
        <f t="shared" si="43"/>
        <v>1</v>
      </c>
      <c r="BI16" s="84">
        <f t="shared" si="44"/>
        <v>0.98360655737704927</v>
      </c>
      <c r="BJ16" s="23">
        <f t="shared" si="45"/>
        <v>11.8</v>
      </c>
      <c r="BK16" s="7">
        <f t="shared" si="45"/>
        <v>12</v>
      </c>
      <c r="BL16" s="83">
        <f t="shared" si="46"/>
        <v>1.0169491525423728</v>
      </c>
      <c r="BM16" s="84">
        <f t="shared" si="47"/>
        <v>1</v>
      </c>
      <c r="BN16" s="23">
        <f t="shared" si="48"/>
        <v>11.9</v>
      </c>
      <c r="BO16" s="7">
        <f t="shared" si="48"/>
        <v>12.1</v>
      </c>
      <c r="BP16" s="83">
        <f t="shared" si="49"/>
        <v>1.0084033613445378</v>
      </c>
      <c r="BQ16" s="84">
        <f t="shared" si="50"/>
        <v>0.99173553719008267</v>
      </c>
      <c r="BR16" s="23">
        <f t="shared" si="51"/>
        <v>11.7</v>
      </c>
      <c r="BS16" s="7">
        <f t="shared" si="51"/>
        <v>11.9</v>
      </c>
      <c r="BT16" s="83">
        <f t="shared" si="52"/>
        <v>1.0256410256410258</v>
      </c>
      <c r="BU16" s="84">
        <f t="shared" si="53"/>
        <v>1.0084033613445378</v>
      </c>
      <c r="BV16" s="23">
        <f t="shared" si="54"/>
        <v>11.7</v>
      </c>
      <c r="BW16" s="7">
        <f t="shared" si="54"/>
        <v>11.9</v>
      </c>
      <c r="BX16" s="83">
        <f t="shared" si="55"/>
        <v>1.0256410256410258</v>
      </c>
      <c r="BY16" s="84">
        <f t="shared" si="56"/>
        <v>1.0084033613445378</v>
      </c>
      <c r="BZ16" s="23">
        <f t="shared" si="57"/>
        <v>11.5</v>
      </c>
      <c r="CA16" s="7">
        <f t="shared" si="57"/>
        <v>11.7</v>
      </c>
      <c r="CB16" s="83">
        <f t="shared" si="58"/>
        <v>1.0434782608695652</v>
      </c>
      <c r="CC16" s="84">
        <f t="shared" si="59"/>
        <v>1.0256410256410258</v>
      </c>
      <c r="CD16" s="465"/>
      <c r="CE16" s="457">
        <f t="shared" si="60"/>
        <v>12.2</v>
      </c>
      <c r="CF16" s="23">
        <f t="shared" si="61"/>
        <v>12.2</v>
      </c>
      <c r="CG16" s="7">
        <f t="shared" si="62"/>
        <v>4.3</v>
      </c>
      <c r="CH16" s="83">
        <f t="shared" si="63"/>
        <v>0.98360655737704927</v>
      </c>
      <c r="CI16" s="459">
        <f t="shared" si="64"/>
        <v>0.98360655737704927</v>
      </c>
      <c r="CJ16" s="84">
        <f t="shared" si="65"/>
        <v>0.8179067041086181</v>
      </c>
      <c r="CK16" s="27">
        <f t="shared" si="66"/>
        <v>13</v>
      </c>
      <c r="CL16" s="23">
        <f t="shared" si="67"/>
        <v>13</v>
      </c>
      <c r="CM16" s="7">
        <f t="shared" si="68"/>
        <v>4.3</v>
      </c>
      <c r="CN16" s="83">
        <f t="shared" si="69"/>
        <v>0.92307692307692313</v>
      </c>
      <c r="CO16" s="459">
        <f t="shared" si="70"/>
        <v>0.92307692307692313</v>
      </c>
      <c r="CP16" s="84">
        <f t="shared" si="71"/>
        <v>0.8179067041086181</v>
      </c>
      <c r="CQ16" s="27">
        <f t="shared" si="72"/>
        <v>13</v>
      </c>
      <c r="CR16" s="23">
        <f t="shared" si="73"/>
        <v>13</v>
      </c>
      <c r="CS16" s="7">
        <f t="shared" si="74"/>
        <v>4.3</v>
      </c>
      <c r="CT16" s="83">
        <f t="shared" si="75"/>
        <v>0.92307692307692313</v>
      </c>
      <c r="CU16" s="459">
        <f t="shared" si="76"/>
        <v>0.92307692307692313</v>
      </c>
      <c r="CV16" s="84">
        <f t="shared" si="77"/>
        <v>0.8179067041086181</v>
      </c>
      <c r="CW16" s="27">
        <f t="shared" si="78"/>
        <v>18</v>
      </c>
      <c r="CX16" s="23">
        <f t="shared" si="79"/>
        <v>18</v>
      </c>
      <c r="CY16" s="7">
        <f t="shared" si="80"/>
        <v>3.7</v>
      </c>
      <c r="CZ16" s="83">
        <f t="shared" si="81"/>
        <v>0.66666666666666663</v>
      </c>
      <c r="DA16" s="459">
        <f t="shared" si="82"/>
        <v>0.66666666666666663</v>
      </c>
      <c r="DB16" s="84">
        <f t="shared" si="83"/>
        <v>0.95054022369379931</v>
      </c>
      <c r="DC16" s="27">
        <f t="shared" si="84"/>
        <v>18</v>
      </c>
      <c r="DD16" s="23">
        <f t="shared" si="85"/>
        <v>18</v>
      </c>
      <c r="DE16" s="7">
        <f t="shared" si="86"/>
        <v>3.7</v>
      </c>
      <c r="DF16" s="83">
        <f t="shared" si="87"/>
        <v>0.66666666666666663</v>
      </c>
      <c r="DG16" s="459">
        <f t="shared" si="88"/>
        <v>0.66666666666666663</v>
      </c>
      <c r="DH16" s="84">
        <f t="shared" si="89"/>
        <v>0.95054022369379931</v>
      </c>
      <c r="DI16" s="27">
        <f t="shared" si="90"/>
        <v>14.1</v>
      </c>
      <c r="DJ16" s="23">
        <f t="shared" si="91"/>
        <v>14.1</v>
      </c>
      <c r="DK16" s="7">
        <f t="shared" si="92"/>
        <v>3.2</v>
      </c>
      <c r="DL16" s="83">
        <f t="shared" si="93"/>
        <v>0.85106382978723405</v>
      </c>
      <c r="DM16" s="459">
        <f t="shared" si="94"/>
        <v>0.85106382978723405</v>
      </c>
      <c r="DN16" s="84">
        <f t="shared" si="95"/>
        <v>1.0990621336459554</v>
      </c>
      <c r="DO16" s="27">
        <f t="shared" si="96"/>
        <v>14.1</v>
      </c>
      <c r="DP16" s="23">
        <f t="shared" si="97"/>
        <v>14.1</v>
      </c>
      <c r="DQ16" s="7">
        <f t="shared" si="98"/>
        <v>3.2</v>
      </c>
      <c r="DR16" s="83">
        <f t="shared" si="99"/>
        <v>0.85106382978723405</v>
      </c>
      <c r="DS16" s="459">
        <f t="shared" si="100"/>
        <v>0.85106382978723405</v>
      </c>
      <c r="DT16" s="84">
        <f t="shared" si="101"/>
        <v>1.0990621336459554</v>
      </c>
      <c r="DU16" s="27">
        <f t="shared" si="102"/>
        <v>10.6</v>
      </c>
      <c r="DV16" s="23">
        <f t="shared" si="103"/>
        <v>10.6</v>
      </c>
      <c r="DW16" s="7">
        <f t="shared" si="104"/>
        <v>3.7</v>
      </c>
      <c r="DX16" s="83">
        <f t="shared" si="105"/>
        <v>1.1320754716981132</v>
      </c>
      <c r="DY16" s="459">
        <f t="shared" si="106"/>
        <v>1.1320754716981132</v>
      </c>
      <c r="DZ16" s="84">
        <f t="shared" si="107"/>
        <v>0.95054022369379931</v>
      </c>
      <c r="EA16" s="27">
        <f t="shared" si="108"/>
        <v>10.6</v>
      </c>
      <c r="EB16" s="23">
        <f t="shared" si="109"/>
        <v>10.6</v>
      </c>
      <c r="EC16" s="7">
        <f t="shared" si="110"/>
        <v>3.7</v>
      </c>
      <c r="ED16" s="83">
        <f t="shared" si="111"/>
        <v>1.1320754716981132</v>
      </c>
      <c r="EE16" s="459">
        <f t="shared" si="112"/>
        <v>1.1320754716981132</v>
      </c>
      <c r="EF16" s="84">
        <f t="shared" si="113"/>
        <v>0.95054022369379931</v>
      </c>
      <c r="EG16" s="27">
        <f t="shared" si="114"/>
        <v>16.3</v>
      </c>
      <c r="EH16" s="23">
        <f t="shared" si="115"/>
        <v>16.3</v>
      </c>
      <c r="EI16" s="7">
        <f t="shared" si="116"/>
        <v>3.1</v>
      </c>
      <c r="EJ16" s="83">
        <f t="shared" si="117"/>
        <v>0.73619631901840488</v>
      </c>
      <c r="EK16" s="459">
        <f t="shared" si="118"/>
        <v>0.73619631901840488</v>
      </c>
      <c r="EL16" s="84">
        <f t="shared" si="119"/>
        <v>1.1345157508603412</v>
      </c>
      <c r="EM16" s="27">
        <f t="shared" si="120"/>
        <v>16.3</v>
      </c>
      <c r="EN16" s="23">
        <f t="shared" si="121"/>
        <v>16.3</v>
      </c>
      <c r="EO16" s="7">
        <f t="shared" si="122"/>
        <v>3.1</v>
      </c>
      <c r="EP16" s="83">
        <f t="shared" si="123"/>
        <v>0.73619631901840488</v>
      </c>
      <c r="EQ16" s="459">
        <f t="shared" si="124"/>
        <v>0.73619631901840488</v>
      </c>
      <c r="ER16" s="84">
        <f t="shared" si="125"/>
        <v>1.1345157508603412</v>
      </c>
      <c r="ES16" s="27">
        <f t="shared" si="126"/>
        <v>12.1</v>
      </c>
      <c r="ET16" s="23">
        <f t="shared" si="127"/>
        <v>12.1</v>
      </c>
      <c r="EU16" s="7">
        <f t="shared" si="128"/>
        <v>2.5</v>
      </c>
      <c r="EV16" s="83">
        <f t="shared" si="129"/>
        <v>0.99173553719008267</v>
      </c>
      <c r="EW16" s="459">
        <f t="shared" si="130"/>
        <v>0.99173553719008267</v>
      </c>
      <c r="EX16" s="84">
        <f t="shared" si="131"/>
        <v>1.4067995310668231</v>
      </c>
      <c r="EY16" s="27">
        <f t="shared" si="132"/>
        <v>12.1</v>
      </c>
      <c r="EZ16" s="23">
        <f t="shared" si="133"/>
        <v>12.1</v>
      </c>
      <c r="FA16" s="7">
        <f t="shared" si="134"/>
        <v>2.5</v>
      </c>
      <c r="FB16" s="83">
        <f t="shared" si="135"/>
        <v>0.99173553719008267</v>
      </c>
      <c r="FC16" s="459">
        <f t="shared" si="136"/>
        <v>0.99173553719008267</v>
      </c>
      <c r="FD16" s="84">
        <f t="shared" si="137"/>
        <v>1.4067995310668231</v>
      </c>
      <c r="FE16" s="12"/>
    </row>
    <row r="17" spans="1:161" x14ac:dyDescent="0.25">
      <c r="A17" s="26">
        <v>2007</v>
      </c>
      <c r="B17" s="23">
        <f t="shared" si="0"/>
        <v>12.1</v>
      </c>
      <c r="C17" s="7">
        <f t="shared" si="0"/>
        <v>12.3</v>
      </c>
      <c r="D17" s="83">
        <f t="shared" si="1"/>
        <v>0.99173553719008267</v>
      </c>
      <c r="E17" s="84">
        <f t="shared" si="2"/>
        <v>0.97560975609756095</v>
      </c>
      <c r="F17" s="23">
        <f t="shared" si="3"/>
        <v>12.1</v>
      </c>
      <c r="G17" s="7">
        <f t="shared" si="3"/>
        <v>12.3</v>
      </c>
      <c r="H17" s="83">
        <f t="shared" si="4"/>
        <v>0.99173553719008267</v>
      </c>
      <c r="I17" s="84">
        <f t="shared" si="5"/>
        <v>0.97560975609756095</v>
      </c>
      <c r="J17" s="23">
        <f t="shared" si="6"/>
        <v>12.1</v>
      </c>
      <c r="K17" s="7">
        <f t="shared" si="6"/>
        <v>13.9</v>
      </c>
      <c r="L17" s="83">
        <f t="shared" si="7"/>
        <v>0.99173553719008267</v>
      </c>
      <c r="M17" s="84">
        <f t="shared" si="8"/>
        <v>0.86330935251798557</v>
      </c>
      <c r="N17" s="23">
        <f t="shared" si="9"/>
        <v>11.9</v>
      </c>
      <c r="O17" s="7">
        <f t="shared" si="9"/>
        <v>13.7</v>
      </c>
      <c r="P17" s="83">
        <f t="shared" si="10"/>
        <v>1.0084033613445378</v>
      </c>
      <c r="Q17" s="84">
        <f t="shared" si="11"/>
        <v>0.87591240875912413</v>
      </c>
      <c r="R17" s="23">
        <f t="shared" si="12"/>
        <v>12.5</v>
      </c>
      <c r="S17" s="7">
        <f t="shared" si="12"/>
        <v>13.9</v>
      </c>
      <c r="T17" s="83">
        <f t="shared" si="13"/>
        <v>0.96</v>
      </c>
      <c r="U17" s="84">
        <f t="shared" si="14"/>
        <v>0.86330935251798557</v>
      </c>
      <c r="V17" s="23">
        <f t="shared" si="15"/>
        <v>12.3</v>
      </c>
      <c r="W17" s="7">
        <f t="shared" si="15"/>
        <v>13.7</v>
      </c>
      <c r="X17" s="83">
        <f t="shared" si="16"/>
        <v>0.97560975609756095</v>
      </c>
      <c r="Y17" s="84">
        <f t="shared" si="17"/>
        <v>0.87591240875912413</v>
      </c>
      <c r="Z17" s="23">
        <f t="shared" si="18"/>
        <v>12.4</v>
      </c>
      <c r="AA17" s="7">
        <f t="shared" si="18"/>
        <v>13.6</v>
      </c>
      <c r="AB17" s="83">
        <f t="shared" si="19"/>
        <v>0.96774193548387089</v>
      </c>
      <c r="AC17" s="84">
        <f t="shared" si="20"/>
        <v>0.88235294117647056</v>
      </c>
      <c r="AD17" s="23">
        <f t="shared" si="21"/>
        <v>12.2</v>
      </c>
      <c r="AE17" s="7">
        <f t="shared" si="21"/>
        <v>13.4</v>
      </c>
      <c r="AF17" s="83">
        <f t="shared" si="22"/>
        <v>0.98360655737704927</v>
      </c>
      <c r="AG17" s="84">
        <f t="shared" si="23"/>
        <v>0.89552238805970152</v>
      </c>
      <c r="AH17" s="23">
        <f t="shared" si="24"/>
        <v>12.2</v>
      </c>
      <c r="AI17" s="7">
        <f t="shared" si="24"/>
        <v>13.5</v>
      </c>
      <c r="AJ17" s="83">
        <f t="shared" si="25"/>
        <v>0.98360655737704927</v>
      </c>
      <c r="AK17" s="84">
        <f t="shared" si="26"/>
        <v>0.88888888888888884</v>
      </c>
      <c r="AL17" s="23">
        <f t="shared" si="27"/>
        <v>12</v>
      </c>
      <c r="AM17" s="7">
        <f t="shared" si="27"/>
        <v>13.3</v>
      </c>
      <c r="AN17" s="83">
        <f t="shared" si="28"/>
        <v>1</v>
      </c>
      <c r="AO17" s="451">
        <f t="shared" si="29"/>
        <v>0.90225563909774431</v>
      </c>
      <c r="AP17" s="457">
        <f t="shared" si="30"/>
        <v>12.1</v>
      </c>
      <c r="AQ17" s="7">
        <f t="shared" si="30"/>
        <v>12.3</v>
      </c>
      <c r="AR17" s="83">
        <f t="shared" si="31"/>
        <v>0.99173553719008267</v>
      </c>
      <c r="AS17" s="84">
        <f t="shared" si="32"/>
        <v>0.97560975609756095</v>
      </c>
      <c r="AT17" s="23">
        <f t="shared" si="33"/>
        <v>12.1</v>
      </c>
      <c r="AU17" s="7">
        <f t="shared" si="33"/>
        <v>12.3</v>
      </c>
      <c r="AV17" s="83">
        <f t="shared" si="34"/>
        <v>0.99173553719008267</v>
      </c>
      <c r="AW17" s="84">
        <f t="shared" si="35"/>
        <v>0.97560975609756095</v>
      </c>
      <c r="AX17" s="23">
        <f t="shared" si="36"/>
        <v>12.1</v>
      </c>
      <c r="AY17" s="7">
        <f t="shared" si="36"/>
        <v>12.3</v>
      </c>
      <c r="AZ17" s="83">
        <f t="shared" si="37"/>
        <v>0.99173553719008267</v>
      </c>
      <c r="BA17" s="84">
        <f t="shared" si="38"/>
        <v>0.97560975609756095</v>
      </c>
      <c r="BB17" s="23">
        <f t="shared" si="39"/>
        <v>11.9</v>
      </c>
      <c r="BC17" s="7">
        <f t="shared" si="39"/>
        <v>12.1</v>
      </c>
      <c r="BD17" s="83">
        <f t="shared" si="40"/>
        <v>1.0084033613445378</v>
      </c>
      <c r="BE17" s="84">
        <f t="shared" si="41"/>
        <v>0.99173553719008267</v>
      </c>
      <c r="BF17" s="23">
        <f t="shared" si="42"/>
        <v>12</v>
      </c>
      <c r="BG17" s="7">
        <f t="shared" si="42"/>
        <v>12.2</v>
      </c>
      <c r="BH17" s="83">
        <f t="shared" si="43"/>
        <v>1</v>
      </c>
      <c r="BI17" s="84">
        <f t="shared" si="44"/>
        <v>0.98360655737704927</v>
      </c>
      <c r="BJ17" s="23">
        <f t="shared" si="45"/>
        <v>11.8</v>
      </c>
      <c r="BK17" s="7">
        <f t="shared" si="45"/>
        <v>12</v>
      </c>
      <c r="BL17" s="83">
        <f t="shared" si="46"/>
        <v>1.0169491525423728</v>
      </c>
      <c r="BM17" s="84">
        <f t="shared" si="47"/>
        <v>1</v>
      </c>
      <c r="BN17" s="23">
        <f t="shared" si="48"/>
        <v>11.9</v>
      </c>
      <c r="BO17" s="7">
        <f t="shared" si="48"/>
        <v>12.1</v>
      </c>
      <c r="BP17" s="83">
        <f t="shared" si="49"/>
        <v>1.0084033613445378</v>
      </c>
      <c r="BQ17" s="84">
        <f t="shared" si="50"/>
        <v>0.99173553719008267</v>
      </c>
      <c r="BR17" s="23">
        <f t="shared" si="51"/>
        <v>11.7</v>
      </c>
      <c r="BS17" s="7">
        <f t="shared" si="51"/>
        <v>11.9</v>
      </c>
      <c r="BT17" s="83">
        <f t="shared" si="52"/>
        <v>1.0256410256410258</v>
      </c>
      <c r="BU17" s="84">
        <f t="shared" si="53"/>
        <v>1.0084033613445378</v>
      </c>
      <c r="BV17" s="23">
        <f t="shared" si="54"/>
        <v>11.7</v>
      </c>
      <c r="BW17" s="7">
        <f t="shared" si="54"/>
        <v>11.9</v>
      </c>
      <c r="BX17" s="83">
        <f t="shared" si="55"/>
        <v>1.0256410256410258</v>
      </c>
      <c r="BY17" s="84">
        <f t="shared" si="56"/>
        <v>1.0084033613445378</v>
      </c>
      <c r="BZ17" s="23">
        <f t="shared" si="57"/>
        <v>11.5</v>
      </c>
      <c r="CA17" s="7">
        <f t="shared" si="57"/>
        <v>11.7</v>
      </c>
      <c r="CB17" s="83">
        <f t="shared" si="58"/>
        <v>1.0434782608695652</v>
      </c>
      <c r="CC17" s="84">
        <f t="shared" si="59"/>
        <v>1.0256410256410258</v>
      </c>
      <c r="CD17" s="465"/>
      <c r="CE17" s="457">
        <f t="shared" si="60"/>
        <v>12.2</v>
      </c>
      <c r="CF17" s="23">
        <f t="shared" si="61"/>
        <v>12.2</v>
      </c>
      <c r="CG17" s="7">
        <f t="shared" si="62"/>
        <v>4.3</v>
      </c>
      <c r="CH17" s="83">
        <f t="shared" si="63"/>
        <v>0.98360655737704927</v>
      </c>
      <c r="CI17" s="459">
        <f t="shared" si="64"/>
        <v>0.98360655737704927</v>
      </c>
      <c r="CJ17" s="84">
        <f t="shared" si="65"/>
        <v>0.8179067041086181</v>
      </c>
      <c r="CK17" s="27">
        <f t="shared" si="66"/>
        <v>13</v>
      </c>
      <c r="CL17" s="23">
        <f t="shared" si="67"/>
        <v>13</v>
      </c>
      <c r="CM17" s="7">
        <f t="shared" si="68"/>
        <v>4.3</v>
      </c>
      <c r="CN17" s="83">
        <f t="shared" si="69"/>
        <v>0.92307692307692313</v>
      </c>
      <c r="CO17" s="459">
        <f t="shared" si="70"/>
        <v>0.92307692307692313</v>
      </c>
      <c r="CP17" s="84">
        <f t="shared" si="71"/>
        <v>0.8179067041086181</v>
      </c>
      <c r="CQ17" s="27">
        <f t="shared" si="72"/>
        <v>13</v>
      </c>
      <c r="CR17" s="23">
        <f t="shared" si="73"/>
        <v>13</v>
      </c>
      <c r="CS17" s="7">
        <f t="shared" si="74"/>
        <v>4.3</v>
      </c>
      <c r="CT17" s="83">
        <f t="shared" si="75"/>
        <v>0.92307692307692313</v>
      </c>
      <c r="CU17" s="459">
        <f t="shared" si="76"/>
        <v>0.92307692307692313</v>
      </c>
      <c r="CV17" s="84">
        <f t="shared" si="77"/>
        <v>0.8179067041086181</v>
      </c>
      <c r="CW17" s="27">
        <f t="shared" si="78"/>
        <v>18</v>
      </c>
      <c r="CX17" s="23">
        <f t="shared" si="79"/>
        <v>18</v>
      </c>
      <c r="CY17" s="7">
        <f t="shared" si="80"/>
        <v>3.7</v>
      </c>
      <c r="CZ17" s="83">
        <f t="shared" si="81"/>
        <v>0.66666666666666663</v>
      </c>
      <c r="DA17" s="459">
        <f t="shared" si="82"/>
        <v>0.66666666666666663</v>
      </c>
      <c r="DB17" s="84">
        <f t="shared" si="83"/>
        <v>0.95054022369379931</v>
      </c>
      <c r="DC17" s="27">
        <f t="shared" si="84"/>
        <v>18</v>
      </c>
      <c r="DD17" s="23">
        <f t="shared" si="85"/>
        <v>18</v>
      </c>
      <c r="DE17" s="7">
        <f t="shared" si="86"/>
        <v>3.7</v>
      </c>
      <c r="DF17" s="83">
        <f t="shared" si="87"/>
        <v>0.66666666666666663</v>
      </c>
      <c r="DG17" s="459">
        <f t="shared" si="88"/>
        <v>0.66666666666666663</v>
      </c>
      <c r="DH17" s="84">
        <f t="shared" si="89"/>
        <v>0.95054022369379931</v>
      </c>
      <c r="DI17" s="27">
        <f t="shared" si="90"/>
        <v>14.1</v>
      </c>
      <c r="DJ17" s="23">
        <f t="shared" si="91"/>
        <v>14.1</v>
      </c>
      <c r="DK17" s="7">
        <f t="shared" si="92"/>
        <v>3.2</v>
      </c>
      <c r="DL17" s="83">
        <f t="shared" si="93"/>
        <v>0.85106382978723405</v>
      </c>
      <c r="DM17" s="459">
        <f t="shared" si="94"/>
        <v>0.85106382978723405</v>
      </c>
      <c r="DN17" s="84">
        <f t="shared" si="95"/>
        <v>1.0990621336459554</v>
      </c>
      <c r="DO17" s="27">
        <f t="shared" si="96"/>
        <v>14.1</v>
      </c>
      <c r="DP17" s="23">
        <f t="shared" si="97"/>
        <v>14.1</v>
      </c>
      <c r="DQ17" s="7">
        <f t="shared" si="98"/>
        <v>3.2</v>
      </c>
      <c r="DR17" s="83">
        <f t="shared" si="99"/>
        <v>0.85106382978723405</v>
      </c>
      <c r="DS17" s="459">
        <f t="shared" si="100"/>
        <v>0.85106382978723405</v>
      </c>
      <c r="DT17" s="84">
        <f t="shared" si="101"/>
        <v>1.0990621336459554</v>
      </c>
      <c r="DU17" s="27">
        <f t="shared" si="102"/>
        <v>10.6</v>
      </c>
      <c r="DV17" s="23">
        <f t="shared" si="103"/>
        <v>10.6</v>
      </c>
      <c r="DW17" s="7">
        <f t="shared" si="104"/>
        <v>3.7</v>
      </c>
      <c r="DX17" s="83">
        <f t="shared" si="105"/>
        <v>1.1320754716981132</v>
      </c>
      <c r="DY17" s="459">
        <f t="shared" si="106"/>
        <v>1.1320754716981132</v>
      </c>
      <c r="DZ17" s="84">
        <f t="shared" si="107"/>
        <v>0.95054022369379931</v>
      </c>
      <c r="EA17" s="27">
        <f t="shared" si="108"/>
        <v>10.6</v>
      </c>
      <c r="EB17" s="23">
        <f t="shared" si="109"/>
        <v>10.6</v>
      </c>
      <c r="EC17" s="7">
        <f t="shared" si="110"/>
        <v>3.7</v>
      </c>
      <c r="ED17" s="83">
        <f t="shared" si="111"/>
        <v>1.1320754716981132</v>
      </c>
      <c r="EE17" s="459">
        <f t="shared" si="112"/>
        <v>1.1320754716981132</v>
      </c>
      <c r="EF17" s="84">
        <f t="shared" si="113"/>
        <v>0.95054022369379931</v>
      </c>
      <c r="EG17" s="27">
        <f t="shared" si="114"/>
        <v>16.3</v>
      </c>
      <c r="EH17" s="23">
        <f t="shared" si="115"/>
        <v>16.3</v>
      </c>
      <c r="EI17" s="7">
        <f t="shared" si="116"/>
        <v>3.1</v>
      </c>
      <c r="EJ17" s="83">
        <f t="shared" si="117"/>
        <v>0.73619631901840488</v>
      </c>
      <c r="EK17" s="459">
        <f t="shared" si="118"/>
        <v>0.73619631901840488</v>
      </c>
      <c r="EL17" s="84">
        <f t="shared" si="119"/>
        <v>1.1345157508603412</v>
      </c>
      <c r="EM17" s="27">
        <f t="shared" si="120"/>
        <v>16.3</v>
      </c>
      <c r="EN17" s="23">
        <f t="shared" si="121"/>
        <v>16.3</v>
      </c>
      <c r="EO17" s="7">
        <f t="shared" si="122"/>
        <v>3.1</v>
      </c>
      <c r="EP17" s="83">
        <f t="shared" si="123"/>
        <v>0.73619631901840488</v>
      </c>
      <c r="EQ17" s="459">
        <f t="shared" si="124"/>
        <v>0.73619631901840488</v>
      </c>
      <c r="ER17" s="84">
        <f t="shared" si="125"/>
        <v>1.1345157508603412</v>
      </c>
      <c r="ES17" s="27">
        <f t="shared" si="126"/>
        <v>12.1</v>
      </c>
      <c r="ET17" s="23">
        <f t="shared" si="127"/>
        <v>12.1</v>
      </c>
      <c r="EU17" s="7">
        <f t="shared" si="128"/>
        <v>2.5</v>
      </c>
      <c r="EV17" s="83">
        <f t="shared" si="129"/>
        <v>0.99173553719008267</v>
      </c>
      <c r="EW17" s="459">
        <f t="shared" si="130"/>
        <v>0.99173553719008267</v>
      </c>
      <c r="EX17" s="84">
        <f t="shared" si="131"/>
        <v>1.4067995310668231</v>
      </c>
      <c r="EY17" s="27">
        <f t="shared" si="132"/>
        <v>12.1</v>
      </c>
      <c r="EZ17" s="23">
        <f t="shared" si="133"/>
        <v>12.1</v>
      </c>
      <c r="FA17" s="7">
        <f t="shared" si="134"/>
        <v>2.5</v>
      </c>
      <c r="FB17" s="83">
        <f t="shared" si="135"/>
        <v>0.99173553719008267</v>
      </c>
      <c r="FC17" s="459">
        <f t="shared" si="136"/>
        <v>0.99173553719008267</v>
      </c>
      <c r="FD17" s="84">
        <f t="shared" si="137"/>
        <v>1.4067995310668231</v>
      </c>
      <c r="FE17" s="12"/>
    </row>
    <row r="18" spans="1:161" x14ac:dyDescent="0.25">
      <c r="A18" s="26">
        <v>2008</v>
      </c>
      <c r="B18" s="23">
        <f t="shared" si="0"/>
        <v>12.1</v>
      </c>
      <c r="C18" s="7">
        <f t="shared" si="0"/>
        <v>12.3</v>
      </c>
      <c r="D18" s="83">
        <f t="shared" si="1"/>
        <v>0.99173553719008267</v>
      </c>
      <c r="E18" s="84">
        <f t="shared" si="2"/>
        <v>0.97560975609756095</v>
      </c>
      <c r="F18" s="23">
        <f t="shared" si="3"/>
        <v>12.1</v>
      </c>
      <c r="G18" s="7">
        <f t="shared" si="3"/>
        <v>12.3</v>
      </c>
      <c r="H18" s="83">
        <f t="shared" si="4"/>
        <v>0.99173553719008267</v>
      </c>
      <c r="I18" s="84">
        <f t="shared" si="5"/>
        <v>0.97560975609756095</v>
      </c>
      <c r="J18" s="23">
        <f t="shared" si="6"/>
        <v>12.1</v>
      </c>
      <c r="K18" s="7">
        <f t="shared" si="6"/>
        <v>13.9</v>
      </c>
      <c r="L18" s="83">
        <f t="shared" si="7"/>
        <v>0.99173553719008267</v>
      </c>
      <c r="M18" s="84">
        <f t="shared" si="8"/>
        <v>0.86330935251798557</v>
      </c>
      <c r="N18" s="23">
        <f t="shared" si="9"/>
        <v>11.9</v>
      </c>
      <c r="O18" s="7">
        <f t="shared" si="9"/>
        <v>13.7</v>
      </c>
      <c r="P18" s="83">
        <f t="shared" si="10"/>
        <v>1.0084033613445378</v>
      </c>
      <c r="Q18" s="84">
        <f t="shared" si="11"/>
        <v>0.87591240875912413</v>
      </c>
      <c r="R18" s="23">
        <f t="shared" si="12"/>
        <v>12.5</v>
      </c>
      <c r="S18" s="7">
        <f t="shared" si="12"/>
        <v>13.9</v>
      </c>
      <c r="T18" s="83">
        <f t="shared" si="13"/>
        <v>0.96</v>
      </c>
      <c r="U18" s="84">
        <f t="shared" si="14"/>
        <v>0.86330935251798557</v>
      </c>
      <c r="V18" s="23">
        <f t="shared" si="15"/>
        <v>12.3</v>
      </c>
      <c r="W18" s="7">
        <f t="shared" si="15"/>
        <v>13.7</v>
      </c>
      <c r="X18" s="83">
        <f t="shared" si="16"/>
        <v>0.97560975609756095</v>
      </c>
      <c r="Y18" s="84">
        <f t="shared" si="17"/>
        <v>0.87591240875912413</v>
      </c>
      <c r="Z18" s="23">
        <f t="shared" si="18"/>
        <v>12.4</v>
      </c>
      <c r="AA18" s="7">
        <f t="shared" si="18"/>
        <v>13.6</v>
      </c>
      <c r="AB18" s="83">
        <f t="shared" si="19"/>
        <v>0.96774193548387089</v>
      </c>
      <c r="AC18" s="84">
        <f t="shared" si="20"/>
        <v>0.88235294117647056</v>
      </c>
      <c r="AD18" s="23">
        <f t="shared" si="21"/>
        <v>12.2</v>
      </c>
      <c r="AE18" s="7">
        <f t="shared" si="21"/>
        <v>13.4</v>
      </c>
      <c r="AF18" s="83">
        <f t="shared" si="22"/>
        <v>0.98360655737704927</v>
      </c>
      <c r="AG18" s="84">
        <f t="shared" si="23"/>
        <v>0.89552238805970152</v>
      </c>
      <c r="AH18" s="23">
        <f t="shared" si="24"/>
        <v>12.2</v>
      </c>
      <c r="AI18" s="7">
        <f t="shared" si="24"/>
        <v>13.5</v>
      </c>
      <c r="AJ18" s="83">
        <f t="shared" si="25"/>
        <v>0.98360655737704927</v>
      </c>
      <c r="AK18" s="84">
        <f t="shared" si="26"/>
        <v>0.88888888888888884</v>
      </c>
      <c r="AL18" s="23">
        <f t="shared" si="27"/>
        <v>12</v>
      </c>
      <c r="AM18" s="7">
        <f t="shared" si="27"/>
        <v>13.3</v>
      </c>
      <c r="AN18" s="83">
        <f t="shared" si="28"/>
        <v>1</v>
      </c>
      <c r="AO18" s="451">
        <f t="shared" si="29"/>
        <v>0.90225563909774431</v>
      </c>
      <c r="AP18" s="457">
        <f t="shared" si="30"/>
        <v>12.1</v>
      </c>
      <c r="AQ18" s="7">
        <f t="shared" si="30"/>
        <v>12.3</v>
      </c>
      <c r="AR18" s="83">
        <f t="shared" si="31"/>
        <v>0.99173553719008267</v>
      </c>
      <c r="AS18" s="84">
        <f t="shared" si="32"/>
        <v>0.97560975609756095</v>
      </c>
      <c r="AT18" s="23">
        <f t="shared" si="33"/>
        <v>12.1</v>
      </c>
      <c r="AU18" s="7">
        <f t="shared" si="33"/>
        <v>12.3</v>
      </c>
      <c r="AV18" s="83">
        <f t="shared" si="34"/>
        <v>0.99173553719008267</v>
      </c>
      <c r="AW18" s="84">
        <f t="shared" si="35"/>
        <v>0.97560975609756095</v>
      </c>
      <c r="AX18" s="23">
        <f t="shared" si="36"/>
        <v>12.1</v>
      </c>
      <c r="AY18" s="7">
        <f t="shared" si="36"/>
        <v>12.3</v>
      </c>
      <c r="AZ18" s="83">
        <f t="shared" si="37"/>
        <v>0.99173553719008267</v>
      </c>
      <c r="BA18" s="84">
        <f t="shared" si="38"/>
        <v>0.97560975609756095</v>
      </c>
      <c r="BB18" s="23">
        <f t="shared" si="39"/>
        <v>11.9</v>
      </c>
      <c r="BC18" s="7">
        <f t="shared" si="39"/>
        <v>12.1</v>
      </c>
      <c r="BD18" s="83">
        <f t="shared" si="40"/>
        <v>1.0084033613445378</v>
      </c>
      <c r="BE18" s="84">
        <f t="shared" si="41"/>
        <v>0.99173553719008267</v>
      </c>
      <c r="BF18" s="23">
        <f t="shared" si="42"/>
        <v>12</v>
      </c>
      <c r="BG18" s="7">
        <f t="shared" si="42"/>
        <v>12.2</v>
      </c>
      <c r="BH18" s="83">
        <f t="shared" si="43"/>
        <v>1</v>
      </c>
      <c r="BI18" s="84">
        <f t="shared" si="44"/>
        <v>0.98360655737704927</v>
      </c>
      <c r="BJ18" s="23">
        <f t="shared" si="45"/>
        <v>11.8</v>
      </c>
      <c r="BK18" s="7">
        <f t="shared" si="45"/>
        <v>12</v>
      </c>
      <c r="BL18" s="83">
        <f t="shared" si="46"/>
        <v>1.0169491525423728</v>
      </c>
      <c r="BM18" s="84">
        <f t="shared" si="47"/>
        <v>1</v>
      </c>
      <c r="BN18" s="23">
        <f t="shared" si="48"/>
        <v>11.9</v>
      </c>
      <c r="BO18" s="7">
        <f t="shared" si="48"/>
        <v>12.1</v>
      </c>
      <c r="BP18" s="83">
        <f t="shared" si="49"/>
        <v>1.0084033613445378</v>
      </c>
      <c r="BQ18" s="84">
        <f t="shared" si="50"/>
        <v>0.99173553719008267</v>
      </c>
      <c r="BR18" s="23">
        <f t="shared" si="51"/>
        <v>11.7</v>
      </c>
      <c r="BS18" s="7">
        <f t="shared" si="51"/>
        <v>11.9</v>
      </c>
      <c r="BT18" s="83">
        <f t="shared" si="52"/>
        <v>1.0256410256410258</v>
      </c>
      <c r="BU18" s="84">
        <f t="shared" si="53"/>
        <v>1.0084033613445378</v>
      </c>
      <c r="BV18" s="23">
        <f t="shared" si="54"/>
        <v>11.7</v>
      </c>
      <c r="BW18" s="7">
        <f t="shared" si="54"/>
        <v>11.9</v>
      </c>
      <c r="BX18" s="83">
        <f t="shared" si="55"/>
        <v>1.0256410256410258</v>
      </c>
      <c r="BY18" s="84">
        <f t="shared" si="56"/>
        <v>1.0084033613445378</v>
      </c>
      <c r="BZ18" s="23">
        <f t="shared" si="57"/>
        <v>11.5</v>
      </c>
      <c r="CA18" s="7">
        <f t="shared" si="57"/>
        <v>11.7</v>
      </c>
      <c r="CB18" s="83">
        <f t="shared" si="58"/>
        <v>1.0434782608695652</v>
      </c>
      <c r="CC18" s="84">
        <f t="shared" si="59"/>
        <v>1.0256410256410258</v>
      </c>
      <c r="CD18" s="465"/>
      <c r="CE18" s="457">
        <f t="shared" si="60"/>
        <v>12.2</v>
      </c>
      <c r="CF18" s="23">
        <f t="shared" si="61"/>
        <v>12.2</v>
      </c>
      <c r="CG18" s="7">
        <f t="shared" si="62"/>
        <v>4.3</v>
      </c>
      <c r="CH18" s="83">
        <f t="shared" si="63"/>
        <v>0.98360655737704927</v>
      </c>
      <c r="CI18" s="459">
        <f t="shared" si="64"/>
        <v>0.98360655737704927</v>
      </c>
      <c r="CJ18" s="84">
        <f t="shared" si="65"/>
        <v>0.8179067041086181</v>
      </c>
      <c r="CK18" s="27">
        <f t="shared" si="66"/>
        <v>13</v>
      </c>
      <c r="CL18" s="23">
        <f t="shared" si="67"/>
        <v>13</v>
      </c>
      <c r="CM18" s="7">
        <f t="shared" si="68"/>
        <v>4.3</v>
      </c>
      <c r="CN18" s="83">
        <f t="shared" si="69"/>
        <v>0.92307692307692313</v>
      </c>
      <c r="CO18" s="459">
        <f t="shared" si="70"/>
        <v>0.92307692307692313</v>
      </c>
      <c r="CP18" s="84">
        <f t="shared" si="71"/>
        <v>0.8179067041086181</v>
      </c>
      <c r="CQ18" s="27">
        <f t="shared" si="72"/>
        <v>13</v>
      </c>
      <c r="CR18" s="23">
        <f t="shared" si="73"/>
        <v>13</v>
      </c>
      <c r="CS18" s="7">
        <f t="shared" si="74"/>
        <v>4.3</v>
      </c>
      <c r="CT18" s="83">
        <f t="shared" si="75"/>
        <v>0.92307692307692313</v>
      </c>
      <c r="CU18" s="459">
        <f t="shared" si="76"/>
        <v>0.92307692307692313</v>
      </c>
      <c r="CV18" s="84">
        <f t="shared" si="77"/>
        <v>0.8179067041086181</v>
      </c>
      <c r="CW18" s="27">
        <f t="shared" si="78"/>
        <v>18</v>
      </c>
      <c r="CX18" s="23">
        <f t="shared" si="79"/>
        <v>18</v>
      </c>
      <c r="CY18" s="7">
        <f t="shared" si="80"/>
        <v>3.7</v>
      </c>
      <c r="CZ18" s="83">
        <f t="shared" si="81"/>
        <v>0.66666666666666663</v>
      </c>
      <c r="DA18" s="459">
        <f t="shared" si="82"/>
        <v>0.66666666666666663</v>
      </c>
      <c r="DB18" s="84">
        <f t="shared" si="83"/>
        <v>0.95054022369379931</v>
      </c>
      <c r="DC18" s="27">
        <f t="shared" si="84"/>
        <v>18</v>
      </c>
      <c r="DD18" s="23">
        <f t="shared" si="85"/>
        <v>18</v>
      </c>
      <c r="DE18" s="7">
        <f t="shared" si="86"/>
        <v>3.7</v>
      </c>
      <c r="DF18" s="83">
        <f t="shared" si="87"/>
        <v>0.66666666666666663</v>
      </c>
      <c r="DG18" s="459">
        <f t="shared" si="88"/>
        <v>0.66666666666666663</v>
      </c>
      <c r="DH18" s="84">
        <f t="shared" si="89"/>
        <v>0.95054022369379931</v>
      </c>
      <c r="DI18" s="27">
        <f t="shared" si="90"/>
        <v>14.1</v>
      </c>
      <c r="DJ18" s="23">
        <f t="shared" si="91"/>
        <v>14.1</v>
      </c>
      <c r="DK18" s="7">
        <f t="shared" si="92"/>
        <v>3.2</v>
      </c>
      <c r="DL18" s="83">
        <f t="shared" si="93"/>
        <v>0.85106382978723405</v>
      </c>
      <c r="DM18" s="459">
        <f t="shared" si="94"/>
        <v>0.85106382978723405</v>
      </c>
      <c r="DN18" s="84">
        <f t="shared" si="95"/>
        <v>1.0990621336459554</v>
      </c>
      <c r="DO18" s="27">
        <f t="shared" si="96"/>
        <v>14.1</v>
      </c>
      <c r="DP18" s="23">
        <f t="shared" si="97"/>
        <v>14.1</v>
      </c>
      <c r="DQ18" s="7">
        <f t="shared" si="98"/>
        <v>3.2</v>
      </c>
      <c r="DR18" s="83">
        <f t="shared" si="99"/>
        <v>0.85106382978723405</v>
      </c>
      <c r="DS18" s="459">
        <f t="shared" si="100"/>
        <v>0.85106382978723405</v>
      </c>
      <c r="DT18" s="84">
        <f t="shared" si="101"/>
        <v>1.0990621336459554</v>
      </c>
      <c r="DU18" s="27">
        <f t="shared" si="102"/>
        <v>10.6</v>
      </c>
      <c r="DV18" s="23">
        <f t="shared" si="103"/>
        <v>10.6</v>
      </c>
      <c r="DW18" s="7">
        <f t="shared" si="104"/>
        <v>3.7</v>
      </c>
      <c r="DX18" s="83">
        <f t="shared" si="105"/>
        <v>1.1320754716981132</v>
      </c>
      <c r="DY18" s="459">
        <f t="shared" si="106"/>
        <v>1.1320754716981132</v>
      </c>
      <c r="DZ18" s="84">
        <f t="shared" si="107"/>
        <v>0.95054022369379931</v>
      </c>
      <c r="EA18" s="27">
        <f t="shared" si="108"/>
        <v>10.6</v>
      </c>
      <c r="EB18" s="23">
        <f t="shared" si="109"/>
        <v>10.6</v>
      </c>
      <c r="EC18" s="7">
        <f t="shared" si="110"/>
        <v>3.7</v>
      </c>
      <c r="ED18" s="83">
        <f t="shared" si="111"/>
        <v>1.1320754716981132</v>
      </c>
      <c r="EE18" s="459">
        <f t="shared" si="112"/>
        <v>1.1320754716981132</v>
      </c>
      <c r="EF18" s="84">
        <f t="shared" si="113"/>
        <v>0.95054022369379931</v>
      </c>
      <c r="EG18" s="27">
        <f t="shared" si="114"/>
        <v>16.3</v>
      </c>
      <c r="EH18" s="23">
        <f t="shared" si="115"/>
        <v>16.3</v>
      </c>
      <c r="EI18" s="7">
        <f t="shared" si="116"/>
        <v>3.1</v>
      </c>
      <c r="EJ18" s="83">
        <f t="shared" si="117"/>
        <v>0.73619631901840488</v>
      </c>
      <c r="EK18" s="459">
        <f t="shared" si="118"/>
        <v>0.73619631901840488</v>
      </c>
      <c r="EL18" s="84">
        <f t="shared" si="119"/>
        <v>1.1345157508603412</v>
      </c>
      <c r="EM18" s="27">
        <f t="shared" si="120"/>
        <v>16.3</v>
      </c>
      <c r="EN18" s="23">
        <f t="shared" si="121"/>
        <v>16.3</v>
      </c>
      <c r="EO18" s="7">
        <f t="shared" si="122"/>
        <v>3.1</v>
      </c>
      <c r="EP18" s="83">
        <f t="shared" si="123"/>
        <v>0.73619631901840488</v>
      </c>
      <c r="EQ18" s="459">
        <f t="shared" si="124"/>
        <v>0.73619631901840488</v>
      </c>
      <c r="ER18" s="84">
        <f t="shared" si="125"/>
        <v>1.1345157508603412</v>
      </c>
      <c r="ES18" s="27">
        <f t="shared" si="126"/>
        <v>12.1</v>
      </c>
      <c r="ET18" s="23">
        <f t="shared" si="127"/>
        <v>12.1</v>
      </c>
      <c r="EU18" s="7">
        <f t="shared" si="128"/>
        <v>2.5</v>
      </c>
      <c r="EV18" s="83">
        <f t="shared" si="129"/>
        <v>0.99173553719008267</v>
      </c>
      <c r="EW18" s="459">
        <f t="shared" si="130"/>
        <v>0.99173553719008267</v>
      </c>
      <c r="EX18" s="84">
        <f t="shared" si="131"/>
        <v>1.4067995310668231</v>
      </c>
      <c r="EY18" s="27">
        <f t="shared" si="132"/>
        <v>12.1</v>
      </c>
      <c r="EZ18" s="23">
        <f t="shared" si="133"/>
        <v>12.1</v>
      </c>
      <c r="FA18" s="7">
        <f t="shared" si="134"/>
        <v>2.5</v>
      </c>
      <c r="FB18" s="83">
        <f t="shared" si="135"/>
        <v>0.99173553719008267</v>
      </c>
      <c r="FC18" s="459">
        <f t="shared" si="136"/>
        <v>0.99173553719008267</v>
      </c>
      <c r="FD18" s="84">
        <f t="shared" si="137"/>
        <v>1.4067995310668231</v>
      </c>
      <c r="FE18" s="12"/>
    </row>
    <row r="19" spans="1:161" x14ac:dyDescent="0.25">
      <c r="A19" s="26">
        <v>2009</v>
      </c>
      <c r="B19" s="23">
        <f t="shared" si="0"/>
        <v>12.1</v>
      </c>
      <c r="C19" s="7">
        <f t="shared" si="0"/>
        <v>12.3</v>
      </c>
      <c r="D19" s="83">
        <f t="shared" si="1"/>
        <v>0.99173553719008267</v>
      </c>
      <c r="E19" s="84">
        <f t="shared" si="2"/>
        <v>0.97560975609756095</v>
      </c>
      <c r="F19" s="23">
        <f t="shared" si="3"/>
        <v>12.1</v>
      </c>
      <c r="G19" s="7">
        <f t="shared" si="3"/>
        <v>12.3</v>
      </c>
      <c r="H19" s="83">
        <f t="shared" si="4"/>
        <v>0.99173553719008267</v>
      </c>
      <c r="I19" s="84">
        <f t="shared" si="5"/>
        <v>0.97560975609756095</v>
      </c>
      <c r="J19" s="23">
        <f t="shared" si="6"/>
        <v>12.1</v>
      </c>
      <c r="K19" s="7">
        <f t="shared" si="6"/>
        <v>13.9</v>
      </c>
      <c r="L19" s="83">
        <f t="shared" si="7"/>
        <v>0.99173553719008267</v>
      </c>
      <c r="M19" s="84">
        <f t="shared" si="8"/>
        <v>0.86330935251798557</v>
      </c>
      <c r="N19" s="23">
        <f t="shared" si="9"/>
        <v>11.9</v>
      </c>
      <c r="O19" s="7">
        <f t="shared" si="9"/>
        <v>13.7</v>
      </c>
      <c r="P19" s="83">
        <f t="shared" si="10"/>
        <v>1.0084033613445378</v>
      </c>
      <c r="Q19" s="84">
        <f t="shared" si="11"/>
        <v>0.87591240875912413</v>
      </c>
      <c r="R19" s="23">
        <f t="shared" si="12"/>
        <v>12.5</v>
      </c>
      <c r="S19" s="7">
        <f t="shared" si="12"/>
        <v>13.9</v>
      </c>
      <c r="T19" s="83">
        <f t="shared" si="13"/>
        <v>0.96</v>
      </c>
      <c r="U19" s="84">
        <f t="shared" si="14"/>
        <v>0.86330935251798557</v>
      </c>
      <c r="V19" s="23">
        <f t="shared" si="15"/>
        <v>12.3</v>
      </c>
      <c r="W19" s="7">
        <f t="shared" si="15"/>
        <v>13.7</v>
      </c>
      <c r="X19" s="83">
        <f t="shared" si="16"/>
        <v>0.97560975609756095</v>
      </c>
      <c r="Y19" s="84">
        <f t="shared" si="17"/>
        <v>0.87591240875912413</v>
      </c>
      <c r="Z19" s="23">
        <f t="shared" si="18"/>
        <v>12.4</v>
      </c>
      <c r="AA19" s="7">
        <f t="shared" si="18"/>
        <v>13.6</v>
      </c>
      <c r="AB19" s="83">
        <f t="shared" si="19"/>
        <v>0.96774193548387089</v>
      </c>
      <c r="AC19" s="84">
        <f t="shared" si="20"/>
        <v>0.88235294117647056</v>
      </c>
      <c r="AD19" s="23">
        <f t="shared" si="21"/>
        <v>12.2</v>
      </c>
      <c r="AE19" s="7">
        <f t="shared" si="21"/>
        <v>13.4</v>
      </c>
      <c r="AF19" s="83">
        <f t="shared" si="22"/>
        <v>0.98360655737704927</v>
      </c>
      <c r="AG19" s="84">
        <f t="shared" si="23"/>
        <v>0.89552238805970152</v>
      </c>
      <c r="AH19" s="23">
        <f t="shared" si="24"/>
        <v>12.2</v>
      </c>
      <c r="AI19" s="7">
        <f t="shared" si="24"/>
        <v>13.5</v>
      </c>
      <c r="AJ19" s="83">
        <f t="shared" si="25"/>
        <v>0.98360655737704927</v>
      </c>
      <c r="AK19" s="84">
        <f t="shared" si="26"/>
        <v>0.88888888888888884</v>
      </c>
      <c r="AL19" s="23">
        <f t="shared" si="27"/>
        <v>12</v>
      </c>
      <c r="AM19" s="7">
        <f t="shared" si="27"/>
        <v>13.3</v>
      </c>
      <c r="AN19" s="83">
        <f t="shared" si="28"/>
        <v>1</v>
      </c>
      <c r="AO19" s="451">
        <f t="shared" si="29"/>
        <v>0.90225563909774431</v>
      </c>
      <c r="AP19" s="457">
        <f t="shared" si="30"/>
        <v>12.1</v>
      </c>
      <c r="AQ19" s="7">
        <f t="shared" si="30"/>
        <v>12.3</v>
      </c>
      <c r="AR19" s="83">
        <f t="shared" si="31"/>
        <v>0.99173553719008267</v>
      </c>
      <c r="AS19" s="84">
        <f t="shared" si="32"/>
        <v>0.97560975609756095</v>
      </c>
      <c r="AT19" s="23">
        <f t="shared" si="33"/>
        <v>12.1</v>
      </c>
      <c r="AU19" s="7">
        <f t="shared" si="33"/>
        <v>12.3</v>
      </c>
      <c r="AV19" s="83">
        <f t="shared" si="34"/>
        <v>0.99173553719008267</v>
      </c>
      <c r="AW19" s="84">
        <f t="shared" si="35"/>
        <v>0.97560975609756095</v>
      </c>
      <c r="AX19" s="23">
        <f t="shared" si="36"/>
        <v>12.1</v>
      </c>
      <c r="AY19" s="7">
        <f t="shared" si="36"/>
        <v>12.3</v>
      </c>
      <c r="AZ19" s="83">
        <f t="shared" si="37"/>
        <v>0.99173553719008267</v>
      </c>
      <c r="BA19" s="84">
        <f t="shared" si="38"/>
        <v>0.97560975609756095</v>
      </c>
      <c r="BB19" s="23">
        <f t="shared" si="39"/>
        <v>11.9</v>
      </c>
      <c r="BC19" s="7">
        <f t="shared" si="39"/>
        <v>12.1</v>
      </c>
      <c r="BD19" s="83">
        <f t="shared" si="40"/>
        <v>1.0084033613445378</v>
      </c>
      <c r="BE19" s="84">
        <f t="shared" si="41"/>
        <v>0.99173553719008267</v>
      </c>
      <c r="BF19" s="23">
        <f t="shared" si="42"/>
        <v>12</v>
      </c>
      <c r="BG19" s="7">
        <f t="shared" si="42"/>
        <v>12.2</v>
      </c>
      <c r="BH19" s="83">
        <f t="shared" si="43"/>
        <v>1</v>
      </c>
      <c r="BI19" s="84">
        <f t="shared" si="44"/>
        <v>0.98360655737704927</v>
      </c>
      <c r="BJ19" s="23">
        <f t="shared" si="45"/>
        <v>11.8</v>
      </c>
      <c r="BK19" s="7">
        <f t="shared" si="45"/>
        <v>12</v>
      </c>
      <c r="BL19" s="83">
        <f t="shared" si="46"/>
        <v>1.0169491525423728</v>
      </c>
      <c r="BM19" s="84">
        <f t="shared" si="47"/>
        <v>1</v>
      </c>
      <c r="BN19" s="23">
        <f t="shared" si="48"/>
        <v>11.9</v>
      </c>
      <c r="BO19" s="7">
        <f t="shared" si="48"/>
        <v>12.1</v>
      </c>
      <c r="BP19" s="83">
        <f t="shared" si="49"/>
        <v>1.0084033613445378</v>
      </c>
      <c r="BQ19" s="84">
        <f t="shared" si="50"/>
        <v>0.99173553719008267</v>
      </c>
      <c r="BR19" s="23">
        <f t="shared" si="51"/>
        <v>11.7</v>
      </c>
      <c r="BS19" s="7">
        <f t="shared" si="51"/>
        <v>11.9</v>
      </c>
      <c r="BT19" s="83">
        <f t="shared" si="52"/>
        <v>1.0256410256410258</v>
      </c>
      <c r="BU19" s="84">
        <f t="shared" si="53"/>
        <v>1.0084033613445378</v>
      </c>
      <c r="BV19" s="23">
        <f t="shared" si="54"/>
        <v>11.7</v>
      </c>
      <c r="BW19" s="7">
        <f t="shared" si="54"/>
        <v>11.9</v>
      </c>
      <c r="BX19" s="83">
        <f t="shared" si="55"/>
        <v>1.0256410256410258</v>
      </c>
      <c r="BY19" s="84">
        <f t="shared" si="56"/>
        <v>1.0084033613445378</v>
      </c>
      <c r="BZ19" s="23">
        <f t="shared" si="57"/>
        <v>11.5</v>
      </c>
      <c r="CA19" s="7">
        <f t="shared" si="57"/>
        <v>11.7</v>
      </c>
      <c r="CB19" s="83">
        <f t="shared" si="58"/>
        <v>1.0434782608695652</v>
      </c>
      <c r="CC19" s="84">
        <f t="shared" si="59"/>
        <v>1.0256410256410258</v>
      </c>
      <c r="CD19" s="465"/>
      <c r="CE19" s="457">
        <f t="shared" si="60"/>
        <v>12.2</v>
      </c>
      <c r="CF19" s="23">
        <f t="shared" si="61"/>
        <v>12.2</v>
      </c>
      <c r="CG19" s="7">
        <f t="shared" si="62"/>
        <v>4.3</v>
      </c>
      <c r="CH19" s="83">
        <f t="shared" si="63"/>
        <v>0.98360655737704927</v>
      </c>
      <c r="CI19" s="459">
        <f t="shared" si="64"/>
        <v>0.98360655737704927</v>
      </c>
      <c r="CJ19" s="84">
        <f t="shared" si="65"/>
        <v>0.8179067041086181</v>
      </c>
      <c r="CK19" s="27">
        <f t="shared" si="66"/>
        <v>13</v>
      </c>
      <c r="CL19" s="23">
        <f t="shared" si="67"/>
        <v>13</v>
      </c>
      <c r="CM19" s="7">
        <f t="shared" si="68"/>
        <v>4.3</v>
      </c>
      <c r="CN19" s="83">
        <f t="shared" si="69"/>
        <v>0.92307692307692313</v>
      </c>
      <c r="CO19" s="459">
        <f t="shared" si="70"/>
        <v>0.92307692307692313</v>
      </c>
      <c r="CP19" s="84">
        <f t="shared" si="71"/>
        <v>0.8179067041086181</v>
      </c>
      <c r="CQ19" s="27">
        <f t="shared" si="72"/>
        <v>13</v>
      </c>
      <c r="CR19" s="23">
        <f t="shared" si="73"/>
        <v>13</v>
      </c>
      <c r="CS19" s="7">
        <f t="shared" si="74"/>
        <v>4.3</v>
      </c>
      <c r="CT19" s="83">
        <f t="shared" si="75"/>
        <v>0.92307692307692313</v>
      </c>
      <c r="CU19" s="459">
        <f t="shared" si="76"/>
        <v>0.92307692307692313</v>
      </c>
      <c r="CV19" s="84">
        <f t="shared" si="77"/>
        <v>0.8179067041086181</v>
      </c>
      <c r="CW19" s="27">
        <f t="shared" si="78"/>
        <v>18</v>
      </c>
      <c r="CX19" s="23">
        <f t="shared" si="79"/>
        <v>18</v>
      </c>
      <c r="CY19" s="7">
        <f t="shared" si="80"/>
        <v>3.7</v>
      </c>
      <c r="CZ19" s="83">
        <f t="shared" si="81"/>
        <v>0.66666666666666663</v>
      </c>
      <c r="DA19" s="459">
        <f t="shared" si="82"/>
        <v>0.66666666666666663</v>
      </c>
      <c r="DB19" s="84">
        <f t="shared" si="83"/>
        <v>0.95054022369379931</v>
      </c>
      <c r="DC19" s="27">
        <f t="shared" si="84"/>
        <v>18</v>
      </c>
      <c r="DD19" s="23">
        <f t="shared" si="85"/>
        <v>18</v>
      </c>
      <c r="DE19" s="7">
        <f t="shared" si="86"/>
        <v>3.7</v>
      </c>
      <c r="DF19" s="83">
        <f t="shared" si="87"/>
        <v>0.66666666666666663</v>
      </c>
      <c r="DG19" s="459">
        <f t="shared" si="88"/>
        <v>0.66666666666666663</v>
      </c>
      <c r="DH19" s="84">
        <f t="shared" si="89"/>
        <v>0.95054022369379931</v>
      </c>
      <c r="DI19" s="27">
        <f t="shared" si="90"/>
        <v>14.1</v>
      </c>
      <c r="DJ19" s="23">
        <f t="shared" si="91"/>
        <v>14.1</v>
      </c>
      <c r="DK19" s="7">
        <f t="shared" si="92"/>
        <v>3.2</v>
      </c>
      <c r="DL19" s="83">
        <f t="shared" si="93"/>
        <v>0.85106382978723405</v>
      </c>
      <c r="DM19" s="459">
        <f t="shared" si="94"/>
        <v>0.85106382978723405</v>
      </c>
      <c r="DN19" s="84">
        <f t="shared" si="95"/>
        <v>1.0990621336459554</v>
      </c>
      <c r="DO19" s="27">
        <f t="shared" si="96"/>
        <v>14.1</v>
      </c>
      <c r="DP19" s="23">
        <f t="shared" si="97"/>
        <v>14.1</v>
      </c>
      <c r="DQ19" s="7">
        <f t="shared" si="98"/>
        <v>3.2</v>
      </c>
      <c r="DR19" s="83">
        <f t="shared" si="99"/>
        <v>0.85106382978723405</v>
      </c>
      <c r="DS19" s="459">
        <f t="shared" si="100"/>
        <v>0.85106382978723405</v>
      </c>
      <c r="DT19" s="84">
        <f t="shared" si="101"/>
        <v>1.0990621336459554</v>
      </c>
      <c r="DU19" s="27">
        <f t="shared" si="102"/>
        <v>10.6</v>
      </c>
      <c r="DV19" s="23">
        <f t="shared" si="103"/>
        <v>10.6</v>
      </c>
      <c r="DW19" s="7">
        <f t="shared" si="104"/>
        <v>3.7</v>
      </c>
      <c r="DX19" s="83">
        <f t="shared" si="105"/>
        <v>1.1320754716981132</v>
      </c>
      <c r="DY19" s="459">
        <f t="shared" si="106"/>
        <v>1.1320754716981132</v>
      </c>
      <c r="DZ19" s="84">
        <f t="shared" si="107"/>
        <v>0.95054022369379931</v>
      </c>
      <c r="EA19" s="27">
        <f t="shared" si="108"/>
        <v>10.6</v>
      </c>
      <c r="EB19" s="23">
        <f t="shared" si="109"/>
        <v>10.6</v>
      </c>
      <c r="EC19" s="7">
        <f t="shared" si="110"/>
        <v>3.7</v>
      </c>
      <c r="ED19" s="83">
        <f t="shared" si="111"/>
        <v>1.1320754716981132</v>
      </c>
      <c r="EE19" s="459">
        <f t="shared" si="112"/>
        <v>1.1320754716981132</v>
      </c>
      <c r="EF19" s="84">
        <f t="shared" si="113"/>
        <v>0.95054022369379931</v>
      </c>
      <c r="EG19" s="27">
        <f t="shared" si="114"/>
        <v>16.3</v>
      </c>
      <c r="EH19" s="23">
        <f t="shared" si="115"/>
        <v>16.3</v>
      </c>
      <c r="EI19" s="7">
        <f t="shared" si="116"/>
        <v>3.1</v>
      </c>
      <c r="EJ19" s="83">
        <f t="shared" si="117"/>
        <v>0.73619631901840488</v>
      </c>
      <c r="EK19" s="459">
        <f t="shared" si="118"/>
        <v>0.73619631901840488</v>
      </c>
      <c r="EL19" s="84">
        <f t="shared" si="119"/>
        <v>1.1345157508603412</v>
      </c>
      <c r="EM19" s="27">
        <f t="shared" si="120"/>
        <v>16.3</v>
      </c>
      <c r="EN19" s="23">
        <f t="shared" si="121"/>
        <v>16.3</v>
      </c>
      <c r="EO19" s="7">
        <f t="shared" si="122"/>
        <v>3.1</v>
      </c>
      <c r="EP19" s="83">
        <f t="shared" si="123"/>
        <v>0.73619631901840488</v>
      </c>
      <c r="EQ19" s="459">
        <f t="shared" si="124"/>
        <v>0.73619631901840488</v>
      </c>
      <c r="ER19" s="84">
        <f t="shared" si="125"/>
        <v>1.1345157508603412</v>
      </c>
      <c r="ES19" s="27">
        <f t="shared" si="126"/>
        <v>12.1</v>
      </c>
      <c r="ET19" s="23">
        <f t="shared" si="127"/>
        <v>12.1</v>
      </c>
      <c r="EU19" s="7">
        <f t="shared" si="128"/>
        <v>2.5</v>
      </c>
      <c r="EV19" s="83">
        <f t="shared" si="129"/>
        <v>0.99173553719008267</v>
      </c>
      <c r="EW19" s="459">
        <f t="shared" si="130"/>
        <v>0.99173553719008267</v>
      </c>
      <c r="EX19" s="84">
        <f t="shared" si="131"/>
        <v>1.4067995310668231</v>
      </c>
      <c r="EY19" s="27">
        <f t="shared" si="132"/>
        <v>12.1</v>
      </c>
      <c r="EZ19" s="23">
        <f t="shared" si="133"/>
        <v>12.1</v>
      </c>
      <c r="FA19" s="7">
        <f t="shared" si="134"/>
        <v>2.5</v>
      </c>
      <c r="FB19" s="83">
        <f t="shared" si="135"/>
        <v>0.99173553719008267</v>
      </c>
      <c r="FC19" s="459">
        <f t="shared" si="136"/>
        <v>0.99173553719008267</v>
      </c>
      <c r="FD19" s="84">
        <f t="shared" si="137"/>
        <v>1.4067995310668231</v>
      </c>
      <c r="FE19" s="12"/>
    </row>
    <row r="20" spans="1:161" x14ac:dyDescent="0.25">
      <c r="A20" s="26">
        <v>2010</v>
      </c>
      <c r="B20" s="23">
        <f t="shared" si="0"/>
        <v>12.1</v>
      </c>
      <c r="C20" s="7">
        <f t="shared" si="0"/>
        <v>12.3</v>
      </c>
      <c r="D20" s="83">
        <f t="shared" si="1"/>
        <v>0.99173553719008267</v>
      </c>
      <c r="E20" s="84">
        <f t="shared" si="2"/>
        <v>0.97560975609756095</v>
      </c>
      <c r="F20" s="23">
        <f t="shared" si="3"/>
        <v>12.1</v>
      </c>
      <c r="G20" s="7">
        <f t="shared" si="3"/>
        <v>12.3</v>
      </c>
      <c r="H20" s="83">
        <f t="shared" si="4"/>
        <v>0.99173553719008267</v>
      </c>
      <c r="I20" s="84">
        <f t="shared" si="5"/>
        <v>0.97560975609756095</v>
      </c>
      <c r="J20" s="23">
        <f t="shared" si="6"/>
        <v>12.1</v>
      </c>
      <c r="K20" s="7">
        <f t="shared" si="6"/>
        <v>13.9</v>
      </c>
      <c r="L20" s="83">
        <f t="shared" si="7"/>
        <v>0.99173553719008267</v>
      </c>
      <c r="M20" s="84">
        <f t="shared" si="8"/>
        <v>0.86330935251798557</v>
      </c>
      <c r="N20" s="23">
        <f t="shared" si="9"/>
        <v>11.9</v>
      </c>
      <c r="O20" s="7">
        <f t="shared" si="9"/>
        <v>13.7</v>
      </c>
      <c r="P20" s="83">
        <f t="shared" si="10"/>
        <v>1.0084033613445378</v>
      </c>
      <c r="Q20" s="84">
        <f t="shared" si="11"/>
        <v>0.87591240875912413</v>
      </c>
      <c r="R20" s="23">
        <f t="shared" si="12"/>
        <v>12.5</v>
      </c>
      <c r="S20" s="7">
        <f t="shared" si="12"/>
        <v>13.9</v>
      </c>
      <c r="T20" s="83">
        <f t="shared" si="13"/>
        <v>0.96</v>
      </c>
      <c r="U20" s="84">
        <f t="shared" si="14"/>
        <v>0.86330935251798557</v>
      </c>
      <c r="V20" s="23">
        <f t="shared" si="15"/>
        <v>12.3</v>
      </c>
      <c r="W20" s="7">
        <f t="shared" si="15"/>
        <v>13.7</v>
      </c>
      <c r="X20" s="83">
        <f t="shared" si="16"/>
        <v>0.97560975609756095</v>
      </c>
      <c r="Y20" s="84">
        <f t="shared" si="17"/>
        <v>0.87591240875912413</v>
      </c>
      <c r="Z20" s="23">
        <f t="shared" si="18"/>
        <v>12.4</v>
      </c>
      <c r="AA20" s="7">
        <f t="shared" si="18"/>
        <v>13.6</v>
      </c>
      <c r="AB20" s="83">
        <f t="shared" si="19"/>
        <v>0.96774193548387089</v>
      </c>
      <c r="AC20" s="84">
        <f t="shared" si="20"/>
        <v>0.88235294117647056</v>
      </c>
      <c r="AD20" s="23">
        <f t="shared" si="21"/>
        <v>12.2</v>
      </c>
      <c r="AE20" s="7">
        <f t="shared" si="21"/>
        <v>13.4</v>
      </c>
      <c r="AF20" s="83">
        <f t="shared" si="22"/>
        <v>0.98360655737704927</v>
      </c>
      <c r="AG20" s="84">
        <f t="shared" si="23"/>
        <v>0.89552238805970152</v>
      </c>
      <c r="AH20" s="23">
        <f t="shared" si="24"/>
        <v>12.2</v>
      </c>
      <c r="AI20" s="7">
        <f t="shared" si="24"/>
        <v>13.5</v>
      </c>
      <c r="AJ20" s="83">
        <f t="shared" si="25"/>
        <v>0.98360655737704927</v>
      </c>
      <c r="AK20" s="84">
        <f t="shared" si="26"/>
        <v>0.88888888888888884</v>
      </c>
      <c r="AL20" s="23">
        <f t="shared" si="27"/>
        <v>12</v>
      </c>
      <c r="AM20" s="7">
        <f t="shared" si="27"/>
        <v>13.3</v>
      </c>
      <c r="AN20" s="83">
        <f t="shared" si="28"/>
        <v>1</v>
      </c>
      <c r="AO20" s="451">
        <f t="shared" si="29"/>
        <v>0.90225563909774431</v>
      </c>
      <c r="AP20" s="457">
        <f t="shared" si="30"/>
        <v>12.1</v>
      </c>
      <c r="AQ20" s="7">
        <f t="shared" si="30"/>
        <v>12.3</v>
      </c>
      <c r="AR20" s="83">
        <f t="shared" si="31"/>
        <v>0.99173553719008267</v>
      </c>
      <c r="AS20" s="84">
        <f t="shared" si="32"/>
        <v>0.97560975609756095</v>
      </c>
      <c r="AT20" s="23">
        <f t="shared" si="33"/>
        <v>12.1</v>
      </c>
      <c r="AU20" s="7">
        <f t="shared" si="33"/>
        <v>12.3</v>
      </c>
      <c r="AV20" s="83">
        <f t="shared" si="34"/>
        <v>0.99173553719008267</v>
      </c>
      <c r="AW20" s="84">
        <f t="shared" si="35"/>
        <v>0.97560975609756095</v>
      </c>
      <c r="AX20" s="23">
        <f t="shared" si="36"/>
        <v>12.1</v>
      </c>
      <c r="AY20" s="7">
        <f t="shared" si="36"/>
        <v>12.3</v>
      </c>
      <c r="AZ20" s="83">
        <f t="shared" si="37"/>
        <v>0.99173553719008267</v>
      </c>
      <c r="BA20" s="84">
        <f t="shared" si="38"/>
        <v>0.97560975609756095</v>
      </c>
      <c r="BB20" s="23">
        <f t="shared" si="39"/>
        <v>11.9</v>
      </c>
      <c r="BC20" s="7">
        <f t="shared" si="39"/>
        <v>12.1</v>
      </c>
      <c r="BD20" s="83">
        <f t="shared" si="40"/>
        <v>1.0084033613445378</v>
      </c>
      <c r="BE20" s="84">
        <f t="shared" si="41"/>
        <v>0.99173553719008267</v>
      </c>
      <c r="BF20" s="23">
        <f t="shared" si="42"/>
        <v>12</v>
      </c>
      <c r="BG20" s="7">
        <f t="shared" si="42"/>
        <v>12.2</v>
      </c>
      <c r="BH20" s="83">
        <f t="shared" si="43"/>
        <v>1</v>
      </c>
      <c r="BI20" s="84">
        <f t="shared" si="44"/>
        <v>0.98360655737704927</v>
      </c>
      <c r="BJ20" s="23">
        <f t="shared" si="45"/>
        <v>11.8</v>
      </c>
      <c r="BK20" s="7">
        <f t="shared" si="45"/>
        <v>12</v>
      </c>
      <c r="BL20" s="83">
        <f t="shared" si="46"/>
        <v>1.0169491525423728</v>
      </c>
      <c r="BM20" s="84">
        <f t="shared" si="47"/>
        <v>1</v>
      </c>
      <c r="BN20" s="23">
        <f t="shared" si="48"/>
        <v>11.9</v>
      </c>
      <c r="BO20" s="7">
        <f t="shared" si="48"/>
        <v>12.1</v>
      </c>
      <c r="BP20" s="83">
        <f t="shared" si="49"/>
        <v>1.0084033613445378</v>
      </c>
      <c r="BQ20" s="84">
        <f t="shared" si="50"/>
        <v>0.99173553719008267</v>
      </c>
      <c r="BR20" s="23">
        <f t="shared" si="51"/>
        <v>11.7</v>
      </c>
      <c r="BS20" s="7">
        <f t="shared" si="51"/>
        <v>11.9</v>
      </c>
      <c r="BT20" s="83">
        <f t="shared" si="52"/>
        <v>1.0256410256410258</v>
      </c>
      <c r="BU20" s="84">
        <f t="shared" si="53"/>
        <v>1.0084033613445378</v>
      </c>
      <c r="BV20" s="23">
        <f t="shared" si="54"/>
        <v>11.7</v>
      </c>
      <c r="BW20" s="7">
        <f t="shared" si="54"/>
        <v>11.9</v>
      </c>
      <c r="BX20" s="83">
        <f t="shared" si="55"/>
        <v>1.0256410256410258</v>
      </c>
      <c r="BY20" s="84">
        <f t="shared" si="56"/>
        <v>1.0084033613445378</v>
      </c>
      <c r="BZ20" s="23">
        <f t="shared" si="57"/>
        <v>11.5</v>
      </c>
      <c r="CA20" s="7">
        <f t="shared" si="57"/>
        <v>11.7</v>
      </c>
      <c r="CB20" s="83">
        <f t="shared" si="58"/>
        <v>1.0434782608695652</v>
      </c>
      <c r="CC20" s="84">
        <f t="shared" si="59"/>
        <v>1.0256410256410258</v>
      </c>
      <c r="CD20" s="465"/>
      <c r="CE20" s="457">
        <f t="shared" si="60"/>
        <v>12.2</v>
      </c>
      <c r="CF20" s="23">
        <f t="shared" si="61"/>
        <v>12.2</v>
      </c>
      <c r="CG20" s="7">
        <f t="shared" si="62"/>
        <v>4.3</v>
      </c>
      <c r="CH20" s="83">
        <f t="shared" si="63"/>
        <v>0.98360655737704927</v>
      </c>
      <c r="CI20" s="459">
        <f t="shared" si="64"/>
        <v>0.98360655737704927</v>
      </c>
      <c r="CJ20" s="84">
        <f t="shared" si="65"/>
        <v>0.8179067041086181</v>
      </c>
      <c r="CK20" s="27">
        <f t="shared" si="66"/>
        <v>13</v>
      </c>
      <c r="CL20" s="23">
        <f t="shared" si="67"/>
        <v>13</v>
      </c>
      <c r="CM20" s="7">
        <f t="shared" si="68"/>
        <v>4.3</v>
      </c>
      <c r="CN20" s="83">
        <f t="shared" si="69"/>
        <v>0.92307692307692313</v>
      </c>
      <c r="CO20" s="459">
        <f t="shared" si="70"/>
        <v>0.92307692307692313</v>
      </c>
      <c r="CP20" s="84">
        <f t="shared" si="71"/>
        <v>0.8179067041086181</v>
      </c>
      <c r="CQ20" s="27">
        <f t="shared" si="72"/>
        <v>13</v>
      </c>
      <c r="CR20" s="23">
        <f t="shared" si="73"/>
        <v>13</v>
      </c>
      <c r="CS20" s="7">
        <f t="shared" si="74"/>
        <v>4.3</v>
      </c>
      <c r="CT20" s="83">
        <f t="shared" si="75"/>
        <v>0.92307692307692313</v>
      </c>
      <c r="CU20" s="459">
        <f t="shared" si="76"/>
        <v>0.92307692307692313</v>
      </c>
      <c r="CV20" s="84">
        <f t="shared" si="77"/>
        <v>0.8179067041086181</v>
      </c>
      <c r="CW20" s="27">
        <f t="shared" si="78"/>
        <v>18</v>
      </c>
      <c r="CX20" s="23">
        <f t="shared" si="79"/>
        <v>18</v>
      </c>
      <c r="CY20" s="7">
        <f t="shared" si="80"/>
        <v>3.7</v>
      </c>
      <c r="CZ20" s="83">
        <f t="shared" si="81"/>
        <v>0.66666666666666663</v>
      </c>
      <c r="DA20" s="459">
        <f t="shared" si="82"/>
        <v>0.66666666666666663</v>
      </c>
      <c r="DB20" s="84">
        <f t="shared" si="83"/>
        <v>0.95054022369379931</v>
      </c>
      <c r="DC20" s="27">
        <f t="shared" si="84"/>
        <v>18</v>
      </c>
      <c r="DD20" s="23">
        <f t="shared" si="85"/>
        <v>18</v>
      </c>
      <c r="DE20" s="7">
        <f t="shared" si="86"/>
        <v>3.7</v>
      </c>
      <c r="DF20" s="83">
        <f t="shared" si="87"/>
        <v>0.66666666666666663</v>
      </c>
      <c r="DG20" s="459">
        <f t="shared" si="88"/>
        <v>0.66666666666666663</v>
      </c>
      <c r="DH20" s="84">
        <f t="shared" si="89"/>
        <v>0.95054022369379931</v>
      </c>
      <c r="DI20" s="27">
        <f t="shared" si="90"/>
        <v>14.1</v>
      </c>
      <c r="DJ20" s="23">
        <f t="shared" si="91"/>
        <v>14.1</v>
      </c>
      <c r="DK20" s="7">
        <f t="shared" si="92"/>
        <v>3.2</v>
      </c>
      <c r="DL20" s="83">
        <f t="shared" si="93"/>
        <v>0.85106382978723405</v>
      </c>
      <c r="DM20" s="459">
        <f t="shared" si="94"/>
        <v>0.85106382978723405</v>
      </c>
      <c r="DN20" s="84">
        <f t="shared" si="95"/>
        <v>1.0990621336459554</v>
      </c>
      <c r="DO20" s="27">
        <f t="shared" si="96"/>
        <v>14.1</v>
      </c>
      <c r="DP20" s="23">
        <f t="shared" si="97"/>
        <v>14.1</v>
      </c>
      <c r="DQ20" s="7">
        <f t="shared" si="98"/>
        <v>3.2</v>
      </c>
      <c r="DR20" s="83">
        <f t="shared" si="99"/>
        <v>0.85106382978723405</v>
      </c>
      <c r="DS20" s="459">
        <f t="shared" si="100"/>
        <v>0.85106382978723405</v>
      </c>
      <c r="DT20" s="84">
        <f t="shared" si="101"/>
        <v>1.0990621336459554</v>
      </c>
      <c r="DU20" s="27">
        <f t="shared" si="102"/>
        <v>10.6</v>
      </c>
      <c r="DV20" s="23">
        <f t="shared" si="103"/>
        <v>10.6</v>
      </c>
      <c r="DW20" s="7">
        <f t="shared" si="104"/>
        <v>3.7</v>
      </c>
      <c r="DX20" s="83">
        <f t="shared" si="105"/>
        <v>1.1320754716981132</v>
      </c>
      <c r="DY20" s="459">
        <f t="shared" si="106"/>
        <v>1.1320754716981132</v>
      </c>
      <c r="DZ20" s="84">
        <f t="shared" si="107"/>
        <v>0.95054022369379931</v>
      </c>
      <c r="EA20" s="27">
        <f t="shared" si="108"/>
        <v>10.6</v>
      </c>
      <c r="EB20" s="23">
        <f t="shared" si="109"/>
        <v>10.6</v>
      </c>
      <c r="EC20" s="7">
        <f t="shared" si="110"/>
        <v>3.7</v>
      </c>
      <c r="ED20" s="83">
        <f t="shared" si="111"/>
        <v>1.1320754716981132</v>
      </c>
      <c r="EE20" s="459">
        <f t="shared" si="112"/>
        <v>1.1320754716981132</v>
      </c>
      <c r="EF20" s="84">
        <f t="shared" si="113"/>
        <v>0.95054022369379931</v>
      </c>
      <c r="EG20" s="27">
        <f t="shared" si="114"/>
        <v>16.3</v>
      </c>
      <c r="EH20" s="23">
        <f t="shared" si="115"/>
        <v>16.3</v>
      </c>
      <c r="EI20" s="7">
        <f t="shared" si="116"/>
        <v>3.1</v>
      </c>
      <c r="EJ20" s="83">
        <f t="shared" si="117"/>
        <v>0.73619631901840488</v>
      </c>
      <c r="EK20" s="459">
        <f t="shared" si="118"/>
        <v>0.73619631901840488</v>
      </c>
      <c r="EL20" s="84">
        <f t="shared" si="119"/>
        <v>1.1345157508603412</v>
      </c>
      <c r="EM20" s="27">
        <f t="shared" si="120"/>
        <v>16.3</v>
      </c>
      <c r="EN20" s="23">
        <f t="shared" si="121"/>
        <v>16.3</v>
      </c>
      <c r="EO20" s="7">
        <f t="shared" si="122"/>
        <v>3.1</v>
      </c>
      <c r="EP20" s="83">
        <f t="shared" si="123"/>
        <v>0.73619631901840488</v>
      </c>
      <c r="EQ20" s="459">
        <f t="shared" si="124"/>
        <v>0.73619631901840488</v>
      </c>
      <c r="ER20" s="84">
        <f t="shared" si="125"/>
        <v>1.1345157508603412</v>
      </c>
      <c r="ES20" s="27">
        <f t="shared" si="126"/>
        <v>12.1</v>
      </c>
      <c r="ET20" s="23">
        <f t="shared" si="127"/>
        <v>12.1</v>
      </c>
      <c r="EU20" s="7">
        <f t="shared" si="128"/>
        <v>2.5</v>
      </c>
      <c r="EV20" s="83">
        <f t="shared" si="129"/>
        <v>0.99173553719008267</v>
      </c>
      <c r="EW20" s="459">
        <f t="shared" si="130"/>
        <v>0.99173553719008267</v>
      </c>
      <c r="EX20" s="84">
        <f t="shared" si="131"/>
        <v>1.4067995310668231</v>
      </c>
      <c r="EY20" s="27">
        <f t="shared" si="132"/>
        <v>12.1</v>
      </c>
      <c r="EZ20" s="23">
        <f t="shared" si="133"/>
        <v>12.1</v>
      </c>
      <c r="FA20" s="7">
        <f t="shared" si="134"/>
        <v>2.5</v>
      </c>
      <c r="FB20" s="83">
        <f t="shared" si="135"/>
        <v>0.99173553719008267</v>
      </c>
      <c r="FC20" s="459">
        <f t="shared" si="136"/>
        <v>0.99173553719008267</v>
      </c>
      <c r="FD20" s="84">
        <f t="shared" si="137"/>
        <v>1.4067995310668231</v>
      </c>
      <c r="FE20" s="12"/>
    </row>
    <row r="21" spans="1:161" x14ac:dyDescent="0.25">
      <c r="A21" s="26">
        <v>2011</v>
      </c>
      <c r="B21" s="23">
        <f t="shared" si="0"/>
        <v>12.1</v>
      </c>
      <c r="C21" s="7">
        <f t="shared" si="0"/>
        <v>12.3</v>
      </c>
      <c r="D21" s="83">
        <f t="shared" si="1"/>
        <v>0.99173553719008267</v>
      </c>
      <c r="E21" s="84">
        <f t="shared" si="2"/>
        <v>0.97560975609756095</v>
      </c>
      <c r="F21" s="23">
        <f t="shared" si="3"/>
        <v>12.1</v>
      </c>
      <c r="G21" s="7">
        <f t="shared" si="3"/>
        <v>12.3</v>
      </c>
      <c r="H21" s="83">
        <f t="shared" si="4"/>
        <v>0.99173553719008267</v>
      </c>
      <c r="I21" s="84">
        <f t="shared" si="5"/>
        <v>0.97560975609756095</v>
      </c>
      <c r="J21" s="23">
        <f t="shared" si="6"/>
        <v>12.1</v>
      </c>
      <c r="K21" s="7">
        <f t="shared" si="6"/>
        <v>13.9</v>
      </c>
      <c r="L21" s="83">
        <f t="shared" si="7"/>
        <v>0.99173553719008267</v>
      </c>
      <c r="M21" s="84">
        <f t="shared" si="8"/>
        <v>0.86330935251798557</v>
      </c>
      <c r="N21" s="23">
        <f t="shared" si="9"/>
        <v>11.9</v>
      </c>
      <c r="O21" s="7">
        <f t="shared" si="9"/>
        <v>13.7</v>
      </c>
      <c r="P21" s="83">
        <f t="shared" si="10"/>
        <v>1.0084033613445378</v>
      </c>
      <c r="Q21" s="84">
        <f t="shared" si="11"/>
        <v>0.87591240875912413</v>
      </c>
      <c r="R21" s="23">
        <f t="shared" si="12"/>
        <v>12.5</v>
      </c>
      <c r="S21" s="7">
        <f t="shared" si="12"/>
        <v>13.9</v>
      </c>
      <c r="T21" s="83">
        <f t="shared" si="13"/>
        <v>0.96</v>
      </c>
      <c r="U21" s="84">
        <f t="shared" si="14"/>
        <v>0.86330935251798557</v>
      </c>
      <c r="V21" s="23">
        <f t="shared" si="15"/>
        <v>12.3</v>
      </c>
      <c r="W21" s="7">
        <f t="shared" si="15"/>
        <v>13.7</v>
      </c>
      <c r="X21" s="83">
        <f t="shared" si="16"/>
        <v>0.97560975609756095</v>
      </c>
      <c r="Y21" s="84">
        <f t="shared" si="17"/>
        <v>0.87591240875912413</v>
      </c>
      <c r="Z21" s="23">
        <f t="shared" si="18"/>
        <v>12.4</v>
      </c>
      <c r="AA21" s="7">
        <f t="shared" si="18"/>
        <v>13.6</v>
      </c>
      <c r="AB21" s="83">
        <f t="shared" si="19"/>
        <v>0.96774193548387089</v>
      </c>
      <c r="AC21" s="84">
        <f t="shared" si="20"/>
        <v>0.88235294117647056</v>
      </c>
      <c r="AD21" s="23">
        <f t="shared" si="21"/>
        <v>12.2</v>
      </c>
      <c r="AE21" s="7">
        <f t="shared" si="21"/>
        <v>13.4</v>
      </c>
      <c r="AF21" s="83">
        <f t="shared" si="22"/>
        <v>0.98360655737704927</v>
      </c>
      <c r="AG21" s="84">
        <f t="shared" si="23"/>
        <v>0.89552238805970152</v>
      </c>
      <c r="AH21" s="23">
        <f t="shared" si="24"/>
        <v>12.2</v>
      </c>
      <c r="AI21" s="7">
        <f t="shared" si="24"/>
        <v>13.5</v>
      </c>
      <c r="AJ21" s="83">
        <f t="shared" si="25"/>
        <v>0.98360655737704927</v>
      </c>
      <c r="AK21" s="84">
        <f t="shared" si="26"/>
        <v>0.88888888888888884</v>
      </c>
      <c r="AL21" s="23">
        <f t="shared" si="27"/>
        <v>12</v>
      </c>
      <c r="AM21" s="7">
        <f t="shared" si="27"/>
        <v>13.3</v>
      </c>
      <c r="AN21" s="83">
        <f t="shared" si="28"/>
        <v>1</v>
      </c>
      <c r="AO21" s="451">
        <f t="shared" si="29"/>
        <v>0.90225563909774431</v>
      </c>
      <c r="AP21" s="457">
        <f t="shared" si="30"/>
        <v>12.1</v>
      </c>
      <c r="AQ21" s="7">
        <f t="shared" si="30"/>
        <v>12.3</v>
      </c>
      <c r="AR21" s="83">
        <f t="shared" si="31"/>
        <v>0.99173553719008267</v>
      </c>
      <c r="AS21" s="84">
        <f t="shared" si="32"/>
        <v>0.97560975609756095</v>
      </c>
      <c r="AT21" s="23">
        <f t="shared" si="33"/>
        <v>12.1</v>
      </c>
      <c r="AU21" s="7">
        <f t="shared" si="33"/>
        <v>12.3</v>
      </c>
      <c r="AV21" s="83">
        <f t="shared" si="34"/>
        <v>0.99173553719008267</v>
      </c>
      <c r="AW21" s="84">
        <f t="shared" si="35"/>
        <v>0.97560975609756095</v>
      </c>
      <c r="AX21" s="23">
        <f t="shared" si="36"/>
        <v>12.1</v>
      </c>
      <c r="AY21" s="7">
        <f t="shared" si="36"/>
        <v>12.3</v>
      </c>
      <c r="AZ21" s="83">
        <f t="shared" si="37"/>
        <v>0.99173553719008267</v>
      </c>
      <c r="BA21" s="84">
        <f t="shared" si="38"/>
        <v>0.97560975609756095</v>
      </c>
      <c r="BB21" s="23">
        <f t="shared" si="39"/>
        <v>11.9</v>
      </c>
      <c r="BC21" s="7">
        <f t="shared" si="39"/>
        <v>12.1</v>
      </c>
      <c r="BD21" s="83">
        <f t="shared" si="40"/>
        <v>1.0084033613445378</v>
      </c>
      <c r="BE21" s="84">
        <f t="shared" si="41"/>
        <v>0.99173553719008267</v>
      </c>
      <c r="BF21" s="23">
        <f t="shared" si="42"/>
        <v>12</v>
      </c>
      <c r="BG21" s="7">
        <f t="shared" si="42"/>
        <v>12.2</v>
      </c>
      <c r="BH21" s="83">
        <f t="shared" si="43"/>
        <v>1</v>
      </c>
      <c r="BI21" s="84">
        <f t="shared" si="44"/>
        <v>0.98360655737704927</v>
      </c>
      <c r="BJ21" s="23">
        <f t="shared" si="45"/>
        <v>11.8</v>
      </c>
      <c r="BK21" s="7">
        <f t="shared" si="45"/>
        <v>12</v>
      </c>
      <c r="BL21" s="83">
        <f t="shared" si="46"/>
        <v>1.0169491525423728</v>
      </c>
      <c r="BM21" s="84">
        <f t="shared" si="47"/>
        <v>1</v>
      </c>
      <c r="BN21" s="23">
        <f t="shared" si="48"/>
        <v>11.9</v>
      </c>
      <c r="BO21" s="7">
        <f t="shared" si="48"/>
        <v>12.1</v>
      </c>
      <c r="BP21" s="83">
        <f t="shared" si="49"/>
        <v>1.0084033613445378</v>
      </c>
      <c r="BQ21" s="84">
        <f t="shared" si="50"/>
        <v>0.99173553719008267</v>
      </c>
      <c r="BR21" s="23">
        <f t="shared" si="51"/>
        <v>11.7</v>
      </c>
      <c r="BS21" s="7">
        <f t="shared" si="51"/>
        <v>11.9</v>
      </c>
      <c r="BT21" s="83">
        <f t="shared" si="52"/>
        <v>1.0256410256410258</v>
      </c>
      <c r="BU21" s="84">
        <f t="shared" si="53"/>
        <v>1.0084033613445378</v>
      </c>
      <c r="BV21" s="23">
        <f t="shared" si="54"/>
        <v>11.7</v>
      </c>
      <c r="BW21" s="7">
        <f t="shared" si="54"/>
        <v>11.9</v>
      </c>
      <c r="BX21" s="83">
        <f t="shared" si="55"/>
        <v>1.0256410256410258</v>
      </c>
      <c r="BY21" s="84">
        <f t="shared" si="56"/>
        <v>1.0084033613445378</v>
      </c>
      <c r="BZ21" s="23">
        <f t="shared" si="57"/>
        <v>11.5</v>
      </c>
      <c r="CA21" s="7">
        <f t="shared" si="57"/>
        <v>11.7</v>
      </c>
      <c r="CB21" s="83">
        <f t="shared" si="58"/>
        <v>1.0434782608695652</v>
      </c>
      <c r="CC21" s="84">
        <f t="shared" si="59"/>
        <v>1.0256410256410258</v>
      </c>
      <c r="CD21" s="465"/>
      <c r="CE21" s="457">
        <f t="shared" si="60"/>
        <v>12.2</v>
      </c>
      <c r="CF21" s="23">
        <f t="shared" si="61"/>
        <v>12.2</v>
      </c>
      <c r="CG21" s="7">
        <f t="shared" si="62"/>
        <v>4.3</v>
      </c>
      <c r="CH21" s="83">
        <f t="shared" si="63"/>
        <v>0.98360655737704927</v>
      </c>
      <c r="CI21" s="459">
        <f t="shared" si="64"/>
        <v>0.98360655737704927</v>
      </c>
      <c r="CJ21" s="84">
        <f t="shared" si="65"/>
        <v>0.8179067041086181</v>
      </c>
      <c r="CK21" s="27">
        <f t="shared" si="66"/>
        <v>13</v>
      </c>
      <c r="CL21" s="23">
        <f t="shared" si="67"/>
        <v>13</v>
      </c>
      <c r="CM21" s="7">
        <f t="shared" si="68"/>
        <v>4.3</v>
      </c>
      <c r="CN21" s="83">
        <f t="shared" si="69"/>
        <v>0.92307692307692313</v>
      </c>
      <c r="CO21" s="459">
        <f t="shared" si="70"/>
        <v>0.92307692307692313</v>
      </c>
      <c r="CP21" s="84">
        <f t="shared" si="71"/>
        <v>0.8179067041086181</v>
      </c>
      <c r="CQ21" s="27">
        <f t="shared" si="72"/>
        <v>13</v>
      </c>
      <c r="CR21" s="23">
        <f t="shared" si="73"/>
        <v>13</v>
      </c>
      <c r="CS21" s="7">
        <f t="shared" si="74"/>
        <v>4.3</v>
      </c>
      <c r="CT21" s="83">
        <f t="shared" si="75"/>
        <v>0.92307692307692313</v>
      </c>
      <c r="CU21" s="459">
        <f t="shared" si="76"/>
        <v>0.92307692307692313</v>
      </c>
      <c r="CV21" s="84">
        <f t="shared" si="77"/>
        <v>0.8179067041086181</v>
      </c>
      <c r="CW21" s="27">
        <f t="shared" si="78"/>
        <v>18</v>
      </c>
      <c r="CX21" s="23">
        <f t="shared" si="79"/>
        <v>18</v>
      </c>
      <c r="CY21" s="7">
        <f t="shared" si="80"/>
        <v>3.7</v>
      </c>
      <c r="CZ21" s="83">
        <f t="shared" si="81"/>
        <v>0.66666666666666663</v>
      </c>
      <c r="DA21" s="459">
        <f t="shared" si="82"/>
        <v>0.66666666666666663</v>
      </c>
      <c r="DB21" s="84">
        <f t="shared" si="83"/>
        <v>0.95054022369379931</v>
      </c>
      <c r="DC21" s="27">
        <f t="shared" si="84"/>
        <v>18</v>
      </c>
      <c r="DD21" s="23">
        <f t="shared" si="85"/>
        <v>18</v>
      </c>
      <c r="DE21" s="7">
        <f t="shared" si="86"/>
        <v>3.7</v>
      </c>
      <c r="DF21" s="83">
        <f t="shared" si="87"/>
        <v>0.66666666666666663</v>
      </c>
      <c r="DG21" s="459">
        <f t="shared" si="88"/>
        <v>0.66666666666666663</v>
      </c>
      <c r="DH21" s="84">
        <f t="shared" si="89"/>
        <v>0.95054022369379931</v>
      </c>
      <c r="DI21" s="27">
        <f t="shared" si="90"/>
        <v>14.1</v>
      </c>
      <c r="DJ21" s="23">
        <f t="shared" si="91"/>
        <v>14.1</v>
      </c>
      <c r="DK21" s="7">
        <f t="shared" si="92"/>
        <v>3.2</v>
      </c>
      <c r="DL21" s="83">
        <f t="shared" si="93"/>
        <v>0.85106382978723405</v>
      </c>
      <c r="DM21" s="459">
        <f t="shared" si="94"/>
        <v>0.85106382978723405</v>
      </c>
      <c r="DN21" s="84">
        <f t="shared" si="95"/>
        <v>1.0990621336459554</v>
      </c>
      <c r="DO21" s="27">
        <f t="shared" si="96"/>
        <v>14.1</v>
      </c>
      <c r="DP21" s="23">
        <f t="shared" si="97"/>
        <v>14.1</v>
      </c>
      <c r="DQ21" s="7">
        <f t="shared" si="98"/>
        <v>3.2</v>
      </c>
      <c r="DR21" s="83">
        <f t="shared" si="99"/>
        <v>0.85106382978723405</v>
      </c>
      <c r="DS21" s="459">
        <f t="shared" si="100"/>
        <v>0.85106382978723405</v>
      </c>
      <c r="DT21" s="84">
        <f t="shared" si="101"/>
        <v>1.0990621336459554</v>
      </c>
      <c r="DU21" s="27">
        <f t="shared" si="102"/>
        <v>10.6</v>
      </c>
      <c r="DV21" s="23">
        <f t="shared" si="103"/>
        <v>10.6</v>
      </c>
      <c r="DW21" s="7">
        <f t="shared" si="104"/>
        <v>3.7</v>
      </c>
      <c r="DX21" s="83">
        <f t="shared" si="105"/>
        <v>1.1320754716981132</v>
      </c>
      <c r="DY21" s="459">
        <f t="shared" si="106"/>
        <v>1.1320754716981132</v>
      </c>
      <c r="DZ21" s="84">
        <f t="shared" si="107"/>
        <v>0.95054022369379931</v>
      </c>
      <c r="EA21" s="27">
        <f t="shared" si="108"/>
        <v>10.6</v>
      </c>
      <c r="EB21" s="23">
        <f t="shared" si="109"/>
        <v>10.6</v>
      </c>
      <c r="EC21" s="7">
        <f t="shared" si="110"/>
        <v>3.7</v>
      </c>
      <c r="ED21" s="83">
        <f t="shared" si="111"/>
        <v>1.1320754716981132</v>
      </c>
      <c r="EE21" s="459">
        <f t="shared" si="112"/>
        <v>1.1320754716981132</v>
      </c>
      <c r="EF21" s="84">
        <f t="shared" si="113"/>
        <v>0.95054022369379931</v>
      </c>
      <c r="EG21" s="27">
        <f t="shared" si="114"/>
        <v>16.3</v>
      </c>
      <c r="EH21" s="23">
        <f t="shared" si="115"/>
        <v>16.3</v>
      </c>
      <c r="EI21" s="7">
        <f t="shared" si="116"/>
        <v>3.1</v>
      </c>
      <c r="EJ21" s="83">
        <f t="shared" si="117"/>
        <v>0.73619631901840488</v>
      </c>
      <c r="EK21" s="459">
        <f t="shared" si="118"/>
        <v>0.73619631901840488</v>
      </c>
      <c r="EL21" s="84">
        <f t="shared" si="119"/>
        <v>1.1345157508603412</v>
      </c>
      <c r="EM21" s="27">
        <f t="shared" si="120"/>
        <v>16.3</v>
      </c>
      <c r="EN21" s="23">
        <f t="shared" si="121"/>
        <v>16.3</v>
      </c>
      <c r="EO21" s="7">
        <f t="shared" si="122"/>
        <v>3.1</v>
      </c>
      <c r="EP21" s="83">
        <f t="shared" si="123"/>
        <v>0.73619631901840488</v>
      </c>
      <c r="EQ21" s="459">
        <f t="shared" si="124"/>
        <v>0.73619631901840488</v>
      </c>
      <c r="ER21" s="84">
        <f t="shared" si="125"/>
        <v>1.1345157508603412</v>
      </c>
      <c r="ES21" s="27">
        <f t="shared" si="126"/>
        <v>12.1</v>
      </c>
      <c r="ET21" s="23">
        <f t="shared" si="127"/>
        <v>12.1</v>
      </c>
      <c r="EU21" s="7">
        <f t="shared" si="128"/>
        <v>2.5</v>
      </c>
      <c r="EV21" s="83">
        <f t="shared" si="129"/>
        <v>0.99173553719008267</v>
      </c>
      <c r="EW21" s="459">
        <f t="shared" si="130"/>
        <v>0.99173553719008267</v>
      </c>
      <c r="EX21" s="84">
        <f t="shared" si="131"/>
        <v>1.4067995310668231</v>
      </c>
      <c r="EY21" s="27">
        <f t="shared" si="132"/>
        <v>12.1</v>
      </c>
      <c r="EZ21" s="23">
        <f t="shared" si="133"/>
        <v>12.1</v>
      </c>
      <c r="FA21" s="7">
        <f t="shared" si="134"/>
        <v>2.5</v>
      </c>
      <c r="FB21" s="83">
        <f t="shared" si="135"/>
        <v>0.99173553719008267</v>
      </c>
      <c r="FC21" s="459">
        <f t="shared" si="136"/>
        <v>0.99173553719008267</v>
      </c>
      <c r="FD21" s="84">
        <f t="shared" si="137"/>
        <v>1.4067995310668231</v>
      </c>
      <c r="FE21" s="12"/>
    </row>
    <row r="22" spans="1:161" x14ac:dyDescent="0.25">
      <c r="A22" s="26">
        <v>2012</v>
      </c>
      <c r="B22" s="23">
        <f t="shared" si="0"/>
        <v>12.1</v>
      </c>
      <c r="C22" s="7">
        <f t="shared" si="0"/>
        <v>12.3</v>
      </c>
      <c r="D22" s="83">
        <f t="shared" si="1"/>
        <v>0.99173553719008267</v>
      </c>
      <c r="E22" s="84">
        <f t="shared" si="2"/>
        <v>0.97560975609756095</v>
      </c>
      <c r="F22" s="23">
        <f t="shared" si="3"/>
        <v>12.1</v>
      </c>
      <c r="G22" s="7">
        <f t="shared" si="3"/>
        <v>12.3</v>
      </c>
      <c r="H22" s="83">
        <f t="shared" si="4"/>
        <v>0.99173553719008267</v>
      </c>
      <c r="I22" s="84">
        <f t="shared" si="5"/>
        <v>0.97560975609756095</v>
      </c>
      <c r="J22" s="23">
        <f t="shared" si="6"/>
        <v>12.1</v>
      </c>
      <c r="K22" s="7">
        <f t="shared" si="6"/>
        <v>13.9</v>
      </c>
      <c r="L22" s="83">
        <f t="shared" si="7"/>
        <v>0.99173553719008267</v>
      </c>
      <c r="M22" s="84">
        <f t="shared" si="8"/>
        <v>0.86330935251798557</v>
      </c>
      <c r="N22" s="23">
        <f t="shared" si="9"/>
        <v>11.9</v>
      </c>
      <c r="O22" s="7">
        <f t="shared" si="9"/>
        <v>13.7</v>
      </c>
      <c r="P22" s="83">
        <f t="shared" si="10"/>
        <v>1.0084033613445378</v>
      </c>
      <c r="Q22" s="84">
        <f t="shared" si="11"/>
        <v>0.87591240875912413</v>
      </c>
      <c r="R22" s="23">
        <f t="shared" si="12"/>
        <v>12.5</v>
      </c>
      <c r="S22" s="7">
        <f t="shared" si="12"/>
        <v>13.9</v>
      </c>
      <c r="T22" s="83">
        <f t="shared" si="13"/>
        <v>0.96</v>
      </c>
      <c r="U22" s="84">
        <f t="shared" si="14"/>
        <v>0.86330935251798557</v>
      </c>
      <c r="V22" s="23">
        <f t="shared" si="15"/>
        <v>12.3</v>
      </c>
      <c r="W22" s="7">
        <f t="shared" si="15"/>
        <v>13.7</v>
      </c>
      <c r="X22" s="83">
        <f t="shared" si="16"/>
        <v>0.97560975609756095</v>
      </c>
      <c r="Y22" s="84">
        <f t="shared" si="17"/>
        <v>0.87591240875912413</v>
      </c>
      <c r="Z22" s="23">
        <f t="shared" si="18"/>
        <v>12.4</v>
      </c>
      <c r="AA22" s="7">
        <f t="shared" si="18"/>
        <v>13.6</v>
      </c>
      <c r="AB22" s="83">
        <f t="shared" si="19"/>
        <v>0.96774193548387089</v>
      </c>
      <c r="AC22" s="84">
        <f t="shared" si="20"/>
        <v>0.88235294117647056</v>
      </c>
      <c r="AD22" s="23">
        <f t="shared" si="21"/>
        <v>12.2</v>
      </c>
      <c r="AE22" s="7">
        <f t="shared" si="21"/>
        <v>13.4</v>
      </c>
      <c r="AF22" s="83">
        <f t="shared" si="22"/>
        <v>0.98360655737704927</v>
      </c>
      <c r="AG22" s="84">
        <f t="shared" si="23"/>
        <v>0.89552238805970152</v>
      </c>
      <c r="AH22" s="23">
        <f t="shared" si="24"/>
        <v>12.2</v>
      </c>
      <c r="AI22" s="7">
        <f t="shared" si="24"/>
        <v>13.5</v>
      </c>
      <c r="AJ22" s="83">
        <f t="shared" si="25"/>
        <v>0.98360655737704927</v>
      </c>
      <c r="AK22" s="84">
        <f t="shared" si="26"/>
        <v>0.88888888888888884</v>
      </c>
      <c r="AL22" s="23">
        <f t="shared" si="27"/>
        <v>12</v>
      </c>
      <c r="AM22" s="7">
        <f t="shared" si="27"/>
        <v>13.3</v>
      </c>
      <c r="AN22" s="83">
        <f t="shared" si="28"/>
        <v>1</v>
      </c>
      <c r="AO22" s="451">
        <f t="shared" si="29"/>
        <v>0.90225563909774431</v>
      </c>
      <c r="AP22" s="457">
        <f t="shared" si="30"/>
        <v>12.1</v>
      </c>
      <c r="AQ22" s="7">
        <f t="shared" si="30"/>
        <v>12.3</v>
      </c>
      <c r="AR22" s="83">
        <f t="shared" si="31"/>
        <v>0.99173553719008267</v>
      </c>
      <c r="AS22" s="84">
        <f t="shared" si="32"/>
        <v>0.97560975609756095</v>
      </c>
      <c r="AT22" s="23">
        <f t="shared" si="33"/>
        <v>12.1</v>
      </c>
      <c r="AU22" s="7">
        <f t="shared" si="33"/>
        <v>12.3</v>
      </c>
      <c r="AV22" s="83">
        <f t="shared" si="34"/>
        <v>0.99173553719008267</v>
      </c>
      <c r="AW22" s="84">
        <f t="shared" si="35"/>
        <v>0.97560975609756095</v>
      </c>
      <c r="AX22" s="23">
        <f t="shared" si="36"/>
        <v>12.1</v>
      </c>
      <c r="AY22" s="7">
        <f t="shared" si="36"/>
        <v>12.3</v>
      </c>
      <c r="AZ22" s="83">
        <f t="shared" si="37"/>
        <v>0.99173553719008267</v>
      </c>
      <c r="BA22" s="84">
        <f t="shared" si="38"/>
        <v>0.97560975609756095</v>
      </c>
      <c r="BB22" s="23">
        <f t="shared" si="39"/>
        <v>11.9</v>
      </c>
      <c r="BC22" s="7">
        <f t="shared" si="39"/>
        <v>12.1</v>
      </c>
      <c r="BD22" s="83">
        <f t="shared" si="40"/>
        <v>1.0084033613445378</v>
      </c>
      <c r="BE22" s="84">
        <f t="shared" si="41"/>
        <v>0.99173553719008267</v>
      </c>
      <c r="BF22" s="23">
        <f t="shared" si="42"/>
        <v>12</v>
      </c>
      <c r="BG22" s="7">
        <f t="shared" si="42"/>
        <v>12.2</v>
      </c>
      <c r="BH22" s="83">
        <f t="shared" si="43"/>
        <v>1</v>
      </c>
      <c r="BI22" s="84">
        <f t="shared" si="44"/>
        <v>0.98360655737704927</v>
      </c>
      <c r="BJ22" s="23">
        <f t="shared" si="45"/>
        <v>11.8</v>
      </c>
      <c r="BK22" s="7">
        <f t="shared" si="45"/>
        <v>12</v>
      </c>
      <c r="BL22" s="83">
        <f t="shared" si="46"/>
        <v>1.0169491525423728</v>
      </c>
      <c r="BM22" s="84">
        <f t="shared" si="47"/>
        <v>1</v>
      </c>
      <c r="BN22" s="23">
        <f t="shared" si="48"/>
        <v>11.9</v>
      </c>
      <c r="BO22" s="7">
        <f t="shared" si="48"/>
        <v>12.1</v>
      </c>
      <c r="BP22" s="83">
        <f t="shared" si="49"/>
        <v>1.0084033613445378</v>
      </c>
      <c r="BQ22" s="84">
        <f t="shared" si="50"/>
        <v>0.99173553719008267</v>
      </c>
      <c r="BR22" s="23">
        <f t="shared" si="51"/>
        <v>11.7</v>
      </c>
      <c r="BS22" s="7">
        <f t="shared" si="51"/>
        <v>11.9</v>
      </c>
      <c r="BT22" s="83">
        <f t="shared" si="52"/>
        <v>1.0256410256410258</v>
      </c>
      <c r="BU22" s="84">
        <f t="shared" si="53"/>
        <v>1.0084033613445378</v>
      </c>
      <c r="BV22" s="23">
        <f t="shared" si="54"/>
        <v>11.7</v>
      </c>
      <c r="BW22" s="7">
        <f t="shared" si="54"/>
        <v>11.9</v>
      </c>
      <c r="BX22" s="83">
        <f t="shared" si="55"/>
        <v>1.0256410256410258</v>
      </c>
      <c r="BY22" s="84">
        <f t="shared" si="56"/>
        <v>1.0084033613445378</v>
      </c>
      <c r="BZ22" s="23">
        <f t="shared" si="57"/>
        <v>11.5</v>
      </c>
      <c r="CA22" s="7">
        <f t="shared" si="57"/>
        <v>11.7</v>
      </c>
      <c r="CB22" s="83">
        <f t="shared" si="58"/>
        <v>1.0434782608695652</v>
      </c>
      <c r="CC22" s="84">
        <f t="shared" si="59"/>
        <v>1.0256410256410258</v>
      </c>
      <c r="CD22" s="465"/>
      <c r="CE22" s="457">
        <f t="shared" si="60"/>
        <v>12.2</v>
      </c>
      <c r="CF22" s="23">
        <f t="shared" si="61"/>
        <v>12.2</v>
      </c>
      <c r="CG22" s="7">
        <f t="shared" si="62"/>
        <v>4.3</v>
      </c>
      <c r="CH22" s="83">
        <f t="shared" si="63"/>
        <v>0.98360655737704927</v>
      </c>
      <c r="CI22" s="459">
        <f t="shared" si="64"/>
        <v>0.98360655737704927</v>
      </c>
      <c r="CJ22" s="84">
        <f t="shared" si="65"/>
        <v>0.8179067041086181</v>
      </c>
      <c r="CK22" s="27">
        <f t="shared" si="66"/>
        <v>13</v>
      </c>
      <c r="CL22" s="23">
        <f t="shared" si="67"/>
        <v>13</v>
      </c>
      <c r="CM22" s="7">
        <f t="shared" si="68"/>
        <v>4.3</v>
      </c>
      <c r="CN22" s="83">
        <f t="shared" si="69"/>
        <v>0.92307692307692313</v>
      </c>
      <c r="CO22" s="459">
        <f t="shared" si="70"/>
        <v>0.92307692307692313</v>
      </c>
      <c r="CP22" s="84">
        <f t="shared" si="71"/>
        <v>0.8179067041086181</v>
      </c>
      <c r="CQ22" s="27">
        <f t="shared" si="72"/>
        <v>13</v>
      </c>
      <c r="CR22" s="23">
        <f t="shared" si="73"/>
        <v>13</v>
      </c>
      <c r="CS22" s="7">
        <f t="shared" si="74"/>
        <v>4.3</v>
      </c>
      <c r="CT22" s="83">
        <f t="shared" si="75"/>
        <v>0.92307692307692313</v>
      </c>
      <c r="CU22" s="459">
        <f t="shared" si="76"/>
        <v>0.92307692307692313</v>
      </c>
      <c r="CV22" s="84">
        <f t="shared" si="77"/>
        <v>0.8179067041086181</v>
      </c>
      <c r="CW22" s="27">
        <f t="shared" si="78"/>
        <v>18</v>
      </c>
      <c r="CX22" s="23">
        <f t="shared" si="79"/>
        <v>18</v>
      </c>
      <c r="CY22" s="7">
        <f t="shared" si="80"/>
        <v>3.7</v>
      </c>
      <c r="CZ22" s="83">
        <f t="shared" si="81"/>
        <v>0.66666666666666663</v>
      </c>
      <c r="DA22" s="459">
        <f t="shared" si="82"/>
        <v>0.66666666666666663</v>
      </c>
      <c r="DB22" s="84">
        <f t="shared" si="83"/>
        <v>0.95054022369379931</v>
      </c>
      <c r="DC22" s="27">
        <f t="shared" si="84"/>
        <v>18</v>
      </c>
      <c r="DD22" s="23">
        <f t="shared" si="85"/>
        <v>18</v>
      </c>
      <c r="DE22" s="7">
        <f t="shared" si="86"/>
        <v>3.7</v>
      </c>
      <c r="DF22" s="83">
        <f t="shared" si="87"/>
        <v>0.66666666666666663</v>
      </c>
      <c r="DG22" s="459">
        <f t="shared" si="88"/>
        <v>0.66666666666666663</v>
      </c>
      <c r="DH22" s="84">
        <f t="shared" si="89"/>
        <v>0.95054022369379931</v>
      </c>
      <c r="DI22" s="27">
        <f t="shared" si="90"/>
        <v>14.1</v>
      </c>
      <c r="DJ22" s="23">
        <f t="shared" si="91"/>
        <v>14.1</v>
      </c>
      <c r="DK22" s="7">
        <f t="shared" si="92"/>
        <v>3.2</v>
      </c>
      <c r="DL22" s="83">
        <f t="shared" si="93"/>
        <v>0.85106382978723405</v>
      </c>
      <c r="DM22" s="459">
        <f t="shared" si="94"/>
        <v>0.85106382978723405</v>
      </c>
      <c r="DN22" s="84">
        <f t="shared" si="95"/>
        <v>1.0990621336459554</v>
      </c>
      <c r="DO22" s="27">
        <f t="shared" si="96"/>
        <v>14.1</v>
      </c>
      <c r="DP22" s="23">
        <f t="shared" si="97"/>
        <v>14.1</v>
      </c>
      <c r="DQ22" s="7">
        <f t="shared" si="98"/>
        <v>3.2</v>
      </c>
      <c r="DR22" s="83">
        <f t="shared" si="99"/>
        <v>0.85106382978723405</v>
      </c>
      <c r="DS22" s="459">
        <f t="shared" si="100"/>
        <v>0.85106382978723405</v>
      </c>
      <c r="DT22" s="84">
        <f t="shared" si="101"/>
        <v>1.0990621336459554</v>
      </c>
      <c r="DU22" s="27">
        <f t="shared" si="102"/>
        <v>10.6</v>
      </c>
      <c r="DV22" s="23">
        <f t="shared" si="103"/>
        <v>10.6</v>
      </c>
      <c r="DW22" s="7">
        <f t="shared" si="104"/>
        <v>3.7</v>
      </c>
      <c r="DX22" s="83">
        <f t="shared" si="105"/>
        <v>1.1320754716981132</v>
      </c>
      <c r="DY22" s="459">
        <f t="shared" si="106"/>
        <v>1.1320754716981132</v>
      </c>
      <c r="DZ22" s="84">
        <f t="shared" si="107"/>
        <v>0.95054022369379931</v>
      </c>
      <c r="EA22" s="27">
        <f t="shared" si="108"/>
        <v>10.6</v>
      </c>
      <c r="EB22" s="23">
        <f t="shared" si="109"/>
        <v>10.6</v>
      </c>
      <c r="EC22" s="7">
        <f t="shared" si="110"/>
        <v>3.7</v>
      </c>
      <c r="ED22" s="83">
        <f t="shared" si="111"/>
        <v>1.1320754716981132</v>
      </c>
      <c r="EE22" s="459">
        <f t="shared" si="112"/>
        <v>1.1320754716981132</v>
      </c>
      <c r="EF22" s="84">
        <f t="shared" si="113"/>
        <v>0.95054022369379931</v>
      </c>
      <c r="EG22" s="27">
        <f t="shared" si="114"/>
        <v>16.3</v>
      </c>
      <c r="EH22" s="23">
        <f t="shared" si="115"/>
        <v>16.3</v>
      </c>
      <c r="EI22" s="7">
        <f t="shared" si="116"/>
        <v>3.1</v>
      </c>
      <c r="EJ22" s="83">
        <f t="shared" si="117"/>
        <v>0.73619631901840488</v>
      </c>
      <c r="EK22" s="459">
        <f t="shared" si="118"/>
        <v>0.73619631901840488</v>
      </c>
      <c r="EL22" s="84">
        <f t="shared" si="119"/>
        <v>1.1345157508603412</v>
      </c>
      <c r="EM22" s="27">
        <f t="shared" si="120"/>
        <v>16.3</v>
      </c>
      <c r="EN22" s="23">
        <f t="shared" si="121"/>
        <v>16.3</v>
      </c>
      <c r="EO22" s="7">
        <f t="shared" si="122"/>
        <v>3.1</v>
      </c>
      <c r="EP22" s="83">
        <f t="shared" si="123"/>
        <v>0.73619631901840488</v>
      </c>
      <c r="EQ22" s="459">
        <f t="shared" si="124"/>
        <v>0.73619631901840488</v>
      </c>
      <c r="ER22" s="84">
        <f t="shared" si="125"/>
        <v>1.1345157508603412</v>
      </c>
      <c r="ES22" s="27">
        <f t="shared" si="126"/>
        <v>12.1</v>
      </c>
      <c r="ET22" s="23">
        <f t="shared" si="127"/>
        <v>12.1</v>
      </c>
      <c r="EU22" s="7">
        <f t="shared" si="128"/>
        <v>2.5</v>
      </c>
      <c r="EV22" s="83">
        <f t="shared" si="129"/>
        <v>0.99173553719008267</v>
      </c>
      <c r="EW22" s="459">
        <f t="shared" si="130"/>
        <v>0.99173553719008267</v>
      </c>
      <c r="EX22" s="84">
        <f t="shared" si="131"/>
        <v>1.4067995310668231</v>
      </c>
      <c r="EY22" s="27">
        <f t="shared" si="132"/>
        <v>12.1</v>
      </c>
      <c r="EZ22" s="23">
        <f t="shared" si="133"/>
        <v>12.1</v>
      </c>
      <c r="FA22" s="7">
        <f t="shared" si="134"/>
        <v>2.5</v>
      </c>
      <c r="FB22" s="83">
        <f t="shared" si="135"/>
        <v>0.99173553719008267</v>
      </c>
      <c r="FC22" s="459">
        <f t="shared" si="136"/>
        <v>0.99173553719008267</v>
      </c>
      <c r="FD22" s="84">
        <f t="shared" si="137"/>
        <v>1.4067995310668231</v>
      </c>
      <c r="FE22" s="12"/>
    </row>
    <row r="23" spans="1:161" x14ac:dyDescent="0.25">
      <c r="A23" s="26">
        <v>2013</v>
      </c>
      <c r="B23" s="23">
        <f t="shared" si="0"/>
        <v>12.1</v>
      </c>
      <c r="C23" s="7">
        <f t="shared" si="0"/>
        <v>12.3</v>
      </c>
      <c r="D23" s="83">
        <f t="shared" si="1"/>
        <v>0.99173553719008267</v>
      </c>
      <c r="E23" s="84">
        <f t="shared" si="2"/>
        <v>0.97560975609756095</v>
      </c>
      <c r="F23" s="23">
        <f t="shared" si="3"/>
        <v>12.1</v>
      </c>
      <c r="G23" s="7">
        <f t="shared" si="3"/>
        <v>12.3</v>
      </c>
      <c r="H23" s="83">
        <f t="shared" si="4"/>
        <v>0.99173553719008267</v>
      </c>
      <c r="I23" s="84">
        <f t="shared" si="5"/>
        <v>0.97560975609756095</v>
      </c>
      <c r="J23" s="23">
        <f t="shared" si="6"/>
        <v>12.1</v>
      </c>
      <c r="K23" s="7">
        <f t="shared" si="6"/>
        <v>13.9</v>
      </c>
      <c r="L23" s="83">
        <f t="shared" si="7"/>
        <v>0.99173553719008267</v>
      </c>
      <c r="M23" s="84">
        <f t="shared" si="8"/>
        <v>0.86330935251798557</v>
      </c>
      <c r="N23" s="23">
        <f t="shared" si="9"/>
        <v>11.9</v>
      </c>
      <c r="O23" s="7">
        <f t="shared" si="9"/>
        <v>13.7</v>
      </c>
      <c r="P23" s="83">
        <f t="shared" si="10"/>
        <v>1.0084033613445378</v>
      </c>
      <c r="Q23" s="84">
        <f t="shared" si="11"/>
        <v>0.87591240875912413</v>
      </c>
      <c r="R23" s="23">
        <f t="shared" si="12"/>
        <v>12.5</v>
      </c>
      <c r="S23" s="7">
        <f t="shared" si="12"/>
        <v>13.9</v>
      </c>
      <c r="T23" s="83">
        <f t="shared" si="13"/>
        <v>0.96</v>
      </c>
      <c r="U23" s="84">
        <f t="shared" si="14"/>
        <v>0.86330935251798557</v>
      </c>
      <c r="V23" s="23">
        <f t="shared" si="15"/>
        <v>12.3</v>
      </c>
      <c r="W23" s="7">
        <f t="shared" si="15"/>
        <v>13.7</v>
      </c>
      <c r="X23" s="83">
        <f t="shared" si="16"/>
        <v>0.97560975609756095</v>
      </c>
      <c r="Y23" s="84">
        <f t="shared" si="17"/>
        <v>0.87591240875912413</v>
      </c>
      <c r="Z23" s="23">
        <f t="shared" si="18"/>
        <v>12.4</v>
      </c>
      <c r="AA23" s="7">
        <f t="shared" si="18"/>
        <v>13.6</v>
      </c>
      <c r="AB23" s="83">
        <f t="shared" si="19"/>
        <v>0.96774193548387089</v>
      </c>
      <c r="AC23" s="84">
        <f t="shared" si="20"/>
        <v>0.88235294117647056</v>
      </c>
      <c r="AD23" s="23">
        <f t="shared" si="21"/>
        <v>12.2</v>
      </c>
      <c r="AE23" s="7">
        <f t="shared" si="21"/>
        <v>13.4</v>
      </c>
      <c r="AF23" s="83">
        <f t="shared" si="22"/>
        <v>0.98360655737704927</v>
      </c>
      <c r="AG23" s="84">
        <f t="shared" si="23"/>
        <v>0.89552238805970152</v>
      </c>
      <c r="AH23" s="23">
        <f t="shared" si="24"/>
        <v>12.2</v>
      </c>
      <c r="AI23" s="7">
        <f t="shared" si="24"/>
        <v>13.5</v>
      </c>
      <c r="AJ23" s="83">
        <f t="shared" si="25"/>
        <v>0.98360655737704927</v>
      </c>
      <c r="AK23" s="84">
        <f t="shared" si="26"/>
        <v>0.88888888888888884</v>
      </c>
      <c r="AL23" s="23">
        <f t="shared" si="27"/>
        <v>12</v>
      </c>
      <c r="AM23" s="7">
        <f t="shared" si="27"/>
        <v>13.3</v>
      </c>
      <c r="AN23" s="83">
        <f t="shared" si="28"/>
        <v>1</v>
      </c>
      <c r="AO23" s="451">
        <f t="shared" si="29"/>
        <v>0.90225563909774431</v>
      </c>
      <c r="AP23" s="457">
        <f t="shared" si="30"/>
        <v>12.1</v>
      </c>
      <c r="AQ23" s="7">
        <f t="shared" si="30"/>
        <v>12.3</v>
      </c>
      <c r="AR23" s="83">
        <f t="shared" si="31"/>
        <v>0.99173553719008267</v>
      </c>
      <c r="AS23" s="84">
        <f t="shared" si="32"/>
        <v>0.97560975609756095</v>
      </c>
      <c r="AT23" s="23">
        <f t="shared" si="33"/>
        <v>12.1</v>
      </c>
      <c r="AU23" s="7">
        <f t="shared" si="33"/>
        <v>12.3</v>
      </c>
      <c r="AV23" s="83">
        <f t="shared" si="34"/>
        <v>0.99173553719008267</v>
      </c>
      <c r="AW23" s="84">
        <f t="shared" si="35"/>
        <v>0.97560975609756095</v>
      </c>
      <c r="AX23" s="23">
        <f t="shared" si="36"/>
        <v>12.1</v>
      </c>
      <c r="AY23" s="7">
        <f t="shared" si="36"/>
        <v>12.3</v>
      </c>
      <c r="AZ23" s="83">
        <f t="shared" si="37"/>
        <v>0.99173553719008267</v>
      </c>
      <c r="BA23" s="84">
        <f t="shared" si="38"/>
        <v>0.97560975609756095</v>
      </c>
      <c r="BB23" s="23">
        <f t="shared" si="39"/>
        <v>11.9</v>
      </c>
      <c r="BC23" s="7">
        <f t="shared" si="39"/>
        <v>12.1</v>
      </c>
      <c r="BD23" s="83">
        <f t="shared" si="40"/>
        <v>1.0084033613445378</v>
      </c>
      <c r="BE23" s="84">
        <f t="shared" si="41"/>
        <v>0.99173553719008267</v>
      </c>
      <c r="BF23" s="23">
        <f t="shared" si="42"/>
        <v>12</v>
      </c>
      <c r="BG23" s="7">
        <f t="shared" si="42"/>
        <v>12.2</v>
      </c>
      <c r="BH23" s="83">
        <f t="shared" si="43"/>
        <v>1</v>
      </c>
      <c r="BI23" s="84">
        <f t="shared" si="44"/>
        <v>0.98360655737704927</v>
      </c>
      <c r="BJ23" s="23">
        <f t="shared" si="45"/>
        <v>11.8</v>
      </c>
      <c r="BK23" s="7">
        <f t="shared" si="45"/>
        <v>12</v>
      </c>
      <c r="BL23" s="83">
        <f t="shared" si="46"/>
        <v>1.0169491525423728</v>
      </c>
      <c r="BM23" s="84">
        <f t="shared" si="47"/>
        <v>1</v>
      </c>
      <c r="BN23" s="23">
        <f t="shared" si="48"/>
        <v>11.9</v>
      </c>
      <c r="BO23" s="7">
        <f t="shared" si="48"/>
        <v>12.1</v>
      </c>
      <c r="BP23" s="83">
        <f t="shared" si="49"/>
        <v>1.0084033613445378</v>
      </c>
      <c r="BQ23" s="84">
        <f t="shared" si="50"/>
        <v>0.99173553719008267</v>
      </c>
      <c r="BR23" s="23">
        <f t="shared" si="51"/>
        <v>11.7</v>
      </c>
      <c r="BS23" s="7">
        <f t="shared" si="51"/>
        <v>11.9</v>
      </c>
      <c r="BT23" s="83">
        <f t="shared" si="52"/>
        <v>1.0256410256410258</v>
      </c>
      <c r="BU23" s="84">
        <f t="shared" si="53"/>
        <v>1.0084033613445378</v>
      </c>
      <c r="BV23" s="23">
        <f t="shared" si="54"/>
        <v>11.7</v>
      </c>
      <c r="BW23" s="7">
        <f t="shared" si="54"/>
        <v>11.9</v>
      </c>
      <c r="BX23" s="83">
        <f t="shared" si="55"/>
        <v>1.0256410256410258</v>
      </c>
      <c r="BY23" s="84">
        <f t="shared" si="56"/>
        <v>1.0084033613445378</v>
      </c>
      <c r="BZ23" s="23">
        <f t="shared" si="57"/>
        <v>11.5</v>
      </c>
      <c r="CA23" s="7">
        <f t="shared" si="57"/>
        <v>11.7</v>
      </c>
      <c r="CB23" s="83">
        <f t="shared" si="58"/>
        <v>1.0434782608695652</v>
      </c>
      <c r="CC23" s="84">
        <f t="shared" si="59"/>
        <v>1.0256410256410258</v>
      </c>
      <c r="CD23" s="465"/>
      <c r="CE23" s="457">
        <f t="shared" si="60"/>
        <v>12.2</v>
      </c>
      <c r="CF23" s="23">
        <f t="shared" si="61"/>
        <v>12.2</v>
      </c>
      <c r="CG23" s="7">
        <f t="shared" si="62"/>
        <v>4.3</v>
      </c>
      <c r="CH23" s="83">
        <f t="shared" si="63"/>
        <v>0.98360655737704927</v>
      </c>
      <c r="CI23" s="459">
        <f t="shared" si="64"/>
        <v>0.98360655737704927</v>
      </c>
      <c r="CJ23" s="84">
        <f t="shared" si="65"/>
        <v>0.8179067041086181</v>
      </c>
      <c r="CK23" s="27">
        <f t="shared" si="66"/>
        <v>13</v>
      </c>
      <c r="CL23" s="23">
        <f t="shared" si="67"/>
        <v>13</v>
      </c>
      <c r="CM23" s="7">
        <f t="shared" si="68"/>
        <v>4.3</v>
      </c>
      <c r="CN23" s="83">
        <f t="shared" si="69"/>
        <v>0.92307692307692313</v>
      </c>
      <c r="CO23" s="459">
        <f t="shared" si="70"/>
        <v>0.92307692307692313</v>
      </c>
      <c r="CP23" s="84">
        <f t="shared" si="71"/>
        <v>0.8179067041086181</v>
      </c>
      <c r="CQ23" s="27">
        <f t="shared" si="72"/>
        <v>13</v>
      </c>
      <c r="CR23" s="23">
        <f t="shared" si="73"/>
        <v>13</v>
      </c>
      <c r="CS23" s="7">
        <f t="shared" si="74"/>
        <v>4.3</v>
      </c>
      <c r="CT23" s="83">
        <f t="shared" si="75"/>
        <v>0.92307692307692313</v>
      </c>
      <c r="CU23" s="459">
        <f t="shared" si="76"/>
        <v>0.92307692307692313</v>
      </c>
      <c r="CV23" s="84">
        <f t="shared" si="77"/>
        <v>0.8179067041086181</v>
      </c>
      <c r="CW23" s="27">
        <f t="shared" si="78"/>
        <v>18</v>
      </c>
      <c r="CX23" s="23">
        <f t="shared" si="79"/>
        <v>18</v>
      </c>
      <c r="CY23" s="7">
        <f t="shared" si="80"/>
        <v>3.7</v>
      </c>
      <c r="CZ23" s="83">
        <f t="shared" si="81"/>
        <v>0.66666666666666663</v>
      </c>
      <c r="DA23" s="459">
        <f t="shared" si="82"/>
        <v>0.66666666666666663</v>
      </c>
      <c r="DB23" s="84">
        <f t="shared" si="83"/>
        <v>0.95054022369379931</v>
      </c>
      <c r="DC23" s="27">
        <f t="shared" si="84"/>
        <v>18</v>
      </c>
      <c r="DD23" s="23">
        <f t="shared" si="85"/>
        <v>18</v>
      </c>
      <c r="DE23" s="7">
        <f t="shared" si="86"/>
        <v>3.7</v>
      </c>
      <c r="DF23" s="83">
        <f t="shared" si="87"/>
        <v>0.66666666666666663</v>
      </c>
      <c r="DG23" s="459">
        <f t="shared" si="88"/>
        <v>0.66666666666666663</v>
      </c>
      <c r="DH23" s="84">
        <f t="shared" si="89"/>
        <v>0.95054022369379931</v>
      </c>
      <c r="DI23" s="27">
        <f t="shared" si="90"/>
        <v>14.1</v>
      </c>
      <c r="DJ23" s="23">
        <f t="shared" si="91"/>
        <v>14.1</v>
      </c>
      <c r="DK23" s="7">
        <f t="shared" si="92"/>
        <v>3.2</v>
      </c>
      <c r="DL23" s="83">
        <f t="shared" si="93"/>
        <v>0.85106382978723405</v>
      </c>
      <c r="DM23" s="459">
        <f t="shared" si="94"/>
        <v>0.85106382978723405</v>
      </c>
      <c r="DN23" s="84">
        <f t="shared" si="95"/>
        <v>1.0990621336459554</v>
      </c>
      <c r="DO23" s="27">
        <f t="shared" si="96"/>
        <v>14.1</v>
      </c>
      <c r="DP23" s="23">
        <f t="shared" si="97"/>
        <v>14.1</v>
      </c>
      <c r="DQ23" s="7">
        <f t="shared" si="98"/>
        <v>3.2</v>
      </c>
      <c r="DR23" s="83">
        <f t="shared" si="99"/>
        <v>0.85106382978723405</v>
      </c>
      <c r="DS23" s="459">
        <f t="shared" si="100"/>
        <v>0.85106382978723405</v>
      </c>
      <c r="DT23" s="84">
        <f t="shared" si="101"/>
        <v>1.0990621336459554</v>
      </c>
      <c r="DU23" s="27">
        <f t="shared" si="102"/>
        <v>10.6</v>
      </c>
      <c r="DV23" s="23">
        <f t="shared" si="103"/>
        <v>10.6</v>
      </c>
      <c r="DW23" s="7">
        <f t="shared" si="104"/>
        <v>3.7</v>
      </c>
      <c r="DX23" s="83">
        <f t="shared" si="105"/>
        <v>1.1320754716981132</v>
      </c>
      <c r="DY23" s="459">
        <f t="shared" si="106"/>
        <v>1.1320754716981132</v>
      </c>
      <c r="DZ23" s="84">
        <f t="shared" si="107"/>
        <v>0.95054022369379931</v>
      </c>
      <c r="EA23" s="27">
        <f t="shared" si="108"/>
        <v>10.6</v>
      </c>
      <c r="EB23" s="23">
        <f t="shared" si="109"/>
        <v>10.6</v>
      </c>
      <c r="EC23" s="7">
        <f t="shared" si="110"/>
        <v>3.7</v>
      </c>
      <c r="ED23" s="83">
        <f t="shared" si="111"/>
        <v>1.1320754716981132</v>
      </c>
      <c r="EE23" s="459">
        <f t="shared" si="112"/>
        <v>1.1320754716981132</v>
      </c>
      <c r="EF23" s="84">
        <f t="shared" si="113"/>
        <v>0.95054022369379931</v>
      </c>
      <c r="EG23" s="27">
        <f t="shared" si="114"/>
        <v>16.3</v>
      </c>
      <c r="EH23" s="23">
        <f t="shared" si="115"/>
        <v>16.3</v>
      </c>
      <c r="EI23" s="7">
        <f t="shared" si="116"/>
        <v>3.1</v>
      </c>
      <c r="EJ23" s="83">
        <f t="shared" si="117"/>
        <v>0.73619631901840488</v>
      </c>
      <c r="EK23" s="459">
        <f t="shared" si="118"/>
        <v>0.73619631901840488</v>
      </c>
      <c r="EL23" s="84">
        <f t="shared" si="119"/>
        <v>1.1345157508603412</v>
      </c>
      <c r="EM23" s="27">
        <f t="shared" si="120"/>
        <v>16.3</v>
      </c>
      <c r="EN23" s="23">
        <f t="shared" si="121"/>
        <v>16.3</v>
      </c>
      <c r="EO23" s="7">
        <f t="shared" si="122"/>
        <v>3.1</v>
      </c>
      <c r="EP23" s="83">
        <f t="shared" si="123"/>
        <v>0.73619631901840488</v>
      </c>
      <c r="EQ23" s="459">
        <f t="shared" si="124"/>
        <v>0.73619631901840488</v>
      </c>
      <c r="ER23" s="84">
        <f t="shared" si="125"/>
        <v>1.1345157508603412</v>
      </c>
      <c r="ES23" s="27">
        <f t="shared" si="126"/>
        <v>12.1</v>
      </c>
      <c r="ET23" s="23">
        <f t="shared" si="127"/>
        <v>12.1</v>
      </c>
      <c r="EU23" s="7">
        <f t="shared" si="128"/>
        <v>2.5</v>
      </c>
      <c r="EV23" s="83">
        <f t="shared" si="129"/>
        <v>0.99173553719008267</v>
      </c>
      <c r="EW23" s="459">
        <f t="shared" si="130"/>
        <v>0.99173553719008267</v>
      </c>
      <c r="EX23" s="84">
        <f t="shared" si="131"/>
        <v>1.4067995310668231</v>
      </c>
      <c r="EY23" s="27">
        <f t="shared" si="132"/>
        <v>12.1</v>
      </c>
      <c r="EZ23" s="23">
        <f t="shared" si="133"/>
        <v>12.1</v>
      </c>
      <c r="FA23" s="7">
        <f t="shared" si="134"/>
        <v>2.5</v>
      </c>
      <c r="FB23" s="83">
        <f t="shared" si="135"/>
        <v>0.99173553719008267</v>
      </c>
      <c r="FC23" s="459">
        <f t="shared" si="136"/>
        <v>0.99173553719008267</v>
      </c>
      <c r="FD23" s="84">
        <f t="shared" si="137"/>
        <v>1.4067995310668231</v>
      </c>
      <c r="FE23" s="12"/>
    </row>
    <row r="24" spans="1:161" x14ac:dyDescent="0.25">
      <c r="A24" s="26">
        <v>2014</v>
      </c>
      <c r="B24" s="23">
        <f t="shared" si="0"/>
        <v>12.1</v>
      </c>
      <c r="C24" s="7">
        <f t="shared" si="0"/>
        <v>12.3</v>
      </c>
      <c r="D24" s="83">
        <f t="shared" si="1"/>
        <v>0.99173553719008267</v>
      </c>
      <c r="E24" s="84">
        <f t="shared" si="2"/>
        <v>0.97560975609756095</v>
      </c>
      <c r="F24" s="23">
        <f t="shared" si="3"/>
        <v>12.1</v>
      </c>
      <c r="G24" s="7">
        <f t="shared" si="3"/>
        <v>12.3</v>
      </c>
      <c r="H24" s="83">
        <f t="shared" si="4"/>
        <v>0.99173553719008267</v>
      </c>
      <c r="I24" s="84">
        <f t="shared" si="5"/>
        <v>0.97560975609756095</v>
      </c>
      <c r="J24" s="23">
        <f t="shared" si="6"/>
        <v>12.1</v>
      </c>
      <c r="K24" s="7">
        <f t="shared" si="6"/>
        <v>13.9</v>
      </c>
      <c r="L24" s="83">
        <f t="shared" si="7"/>
        <v>0.99173553719008267</v>
      </c>
      <c r="M24" s="84">
        <f t="shared" si="8"/>
        <v>0.86330935251798557</v>
      </c>
      <c r="N24" s="23">
        <f t="shared" si="9"/>
        <v>11.9</v>
      </c>
      <c r="O24" s="7">
        <f t="shared" si="9"/>
        <v>13.7</v>
      </c>
      <c r="P24" s="83">
        <f t="shared" si="10"/>
        <v>1.0084033613445378</v>
      </c>
      <c r="Q24" s="84">
        <f t="shared" si="11"/>
        <v>0.87591240875912413</v>
      </c>
      <c r="R24" s="23">
        <f t="shared" si="12"/>
        <v>12.5</v>
      </c>
      <c r="S24" s="7">
        <f t="shared" si="12"/>
        <v>13.9</v>
      </c>
      <c r="T24" s="83">
        <f t="shared" si="13"/>
        <v>0.96</v>
      </c>
      <c r="U24" s="84">
        <f t="shared" si="14"/>
        <v>0.86330935251798557</v>
      </c>
      <c r="V24" s="23">
        <f t="shared" si="15"/>
        <v>12.3</v>
      </c>
      <c r="W24" s="7">
        <f t="shared" si="15"/>
        <v>13.7</v>
      </c>
      <c r="X24" s="83">
        <f t="shared" si="16"/>
        <v>0.97560975609756095</v>
      </c>
      <c r="Y24" s="84">
        <f t="shared" si="17"/>
        <v>0.87591240875912413</v>
      </c>
      <c r="Z24" s="23">
        <f t="shared" si="18"/>
        <v>12.4</v>
      </c>
      <c r="AA24" s="7">
        <f t="shared" si="18"/>
        <v>13.6</v>
      </c>
      <c r="AB24" s="83">
        <f t="shared" si="19"/>
        <v>0.96774193548387089</v>
      </c>
      <c r="AC24" s="84">
        <f t="shared" si="20"/>
        <v>0.88235294117647056</v>
      </c>
      <c r="AD24" s="23">
        <f t="shared" si="21"/>
        <v>12.2</v>
      </c>
      <c r="AE24" s="7">
        <f t="shared" si="21"/>
        <v>13.4</v>
      </c>
      <c r="AF24" s="83">
        <f t="shared" si="22"/>
        <v>0.98360655737704927</v>
      </c>
      <c r="AG24" s="84">
        <f t="shared" si="23"/>
        <v>0.89552238805970152</v>
      </c>
      <c r="AH24" s="23">
        <f t="shared" si="24"/>
        <v>12.2</v>
      </c>
      <c r="AI24" s="7">
        <f t="shared" si="24"/>
        <v>13.5</v>
      </c>
      <c r="AJ24" s="83">
        <f t="shared" si="25"/>
        <v>0.98360655737704927</v>
      </c>
      <c r="AK24" s="84">
        <f t="shared" si="26"/>
        <v>0.88888888888888884</v>
      </c>
      <c r="AL24" s="23">
        <f t="shared" si="27"/>
        <v>12</v>
      </c>
      <c r="AM24" s="7">
        <f t="shared" si="27"/>
        <v>13.3</v>
      </c>
      <c r="AN24" s="83">
        <f t="shared" si="28"/>
        <v>1</v>
      </c>
      <c r="AO24" s="451">
        <f t="shared" si="29"/>
        <v>0.90225563909774431</v>
      </c>
      <c r="AP24" s="457">
        <f t="shared" si="30"/>
        <v>12.1</v>
      </c>
      <c r="AQ24" s="7">
        <f t="shared" si="30"/>
        <v>12.3</v>
      </c>
      <c r="AR24" s="83">
        <f t="shared" si="31"/>
        <v>0.99173553719008267</v>
      </c>
      <c r="AS24" s="84">
        <f t="shared" si="32"/>
        <v>0.97560975609756095</v>
      </c>
      <c r="AT24" s="23">
        <f t="shared" si="33"/>
        <v>12.1</v>
      </c>
      <c r="AU24" s="7">
        <f t="shared" si="33"/>
        <v>12.3</v>
      </c>
      <c r="AV24" s="83">
        <f t="shared" si="34"/>
        <v>0.99173553719008267</v>
      </c>
      <c r="AW24" s="84">
        <f t="shared" si="35"/>
        <v>0.97560975609756095</v>
      </c>
      <c r="AX24" s="23">
        <f t="shared" si="36"/>
        <v>12.1</v>
      </c>
      <c r="AY24" s="7">
        <f t="shared" si="36"/>
        <v>12.3</v>
      </c>
      <c r="AZ24" s="83">
        <f t="shared" si="37"/>
        <v>0.99173553719008267</v>
      </c>
      <c r="BA24" s="84">
        <f t="shared" si="38"/>
        <v>0.97560975609756095</v>
      </c>
      <c r="BB24" s="23">
        <f t="shared" si="39"/>
        <v>11.9</v>
      </c>
      <c r="BC24" s="7">
        <f t="shared" si="39"/>
        <v>12.1</v>
      </c>
      <c r="BD24" s="83">
        <f t="shared" si="40"/>
        <v>1.0084033613445378</v>
      </c>
      <c r="BE24" s="84">
        <f t="shared" si="41"/>
        <v>0.99173553719008267</v>
      </c>
      <c r="BF24" s="23">
        <f t="shared" si="42"/>
        <v>12</v>
      </c>
      <c r="BG24" s="7">
        <f t="shared" si="42"/>
        <v>12.2</v>
      </c>
      <c r="BH24" s="83">
        <f t="shared" si="43"/>
        <v>1</v>
      </c>
      <c r="BI24" s="84">
        <f t="shared" si="44"/>
        <v>0.98360655737704927</v>
      </c>
      <c r="BJ24" s="23">
        <f t="shared" si="45"/>
        <v>11.8</v>
      </c>
      <c r="BK24" s="7">
        <f t="shared" si="45"/>
        <v>12</v>
      </c>
      <c r="BL24" s="83">
        <f t="shared" si="46"/>
        <v>1.0169491525423728</v>
      </c>
      <c r="BM24" s="84">
        <f t="shared" si="47"/>
        <v>1</v>
      </c>
      <c r="BN24" s="23">
        <f t="shared" si="48"/>
        <v>11.9</v>
      </c>
      <c r="BO24" s="7">
        <f t="shared" si="48"/>
        <v>12.1</v>
      </c>
      <c r="BP24" s="83">
        <f t="shared" si="49"/>
        <v>1.0084033613445378</v>
      </c>
      <c r="BQ24" s="84">
        <f t="shared" si="50"/>
        <v>0.99173553719008267</v>
      </c>
      <c r="BR24" s="23">
        <f t="shared" si="51"/>
        <v>11.7</v>
      </c>
      <c r="BS24" s="7">
        <f t="shared" si="51"/>
        <v>11.9</v>
      </c>
      <c r="BT24" s="83">
        <f t="shared" si="52"/>
        <v>1.0256410256410258</v>
      </c>
      <c r="BU24" s="84">
        <f t="shared" si="53"/>
        <v>1.0084033613445378</v>
      </c>
      <c r="BV24" s="23">
        <f t="shared" si="54"/>
        <v>11.7</v>
      </c>
      <c r="BW24" s="7">
        <f t="shared" si="54"/>
        <v>11.9</v>
      </c>
      <c r="BX24" s="83">
        <f t="shared" si="55"/>
        <v>1.0256410256410258</v>
      </c>
      <c r="BY24" s="84">
        <f t="shared" si="56"/>
        <v>1.0084033613445378</v>
      </c>
      <c r="BZ24" s="23">
        <f t="shared" si="57"/>
        <v>11.5</v>
      </c>
      <c r="CA24" s="7">
        <f t="shared" si="57"/>
        <v>11.7</v>
      </c>
      <c r="CB24" s="83">
        <f t="shared" si="58"/>
        <v>1.0434782608695652</v>
      </c>
      <c r="CC24" s="84">
        <f t="shared" si="59"/>
        <v>1.0256410256410258</v>
      </c>
      <c r="CD24" s="465"/>
      <c r="CE24" s="457">
        <f t="shared" si="60"/>
        <v>12.2</v>
      </c>
      <c r="CF24" s="23">
        <f t="shared" si="61"/>
        <v>12.2</v>
      </c>
      <c r="CG24" s="7">
        <f t="shared" si="62"/>
        <v>4.3</v>
      </c>
      <c r="CH24" s="83">
        <f t="shared" si="63"/>
        <v>0.98360655737704927</v>
      </c>
      <c r="CI24" s="459">
        <f t="shared" si="64"/>
        <v>0.98360655737704927</v>
      </c>
      <c r="CJ24" s="84">
        <f t="shared" si="65"/>
        <v>0.8179067041086181</v>
      </c>
      <c r="CK24" s="27">
        <f t="shared" si="66"/>
        <v>13</v>
      </c>
      <c r="CL24" s="23">
        <f t="shared" si="67"/>
        <v>13</v>
      </c>
      <c r="CM24" s="7">
        <f t="shared" si="68"/>
        <v>4.3</v>
      </c>
      <c r="CN24" s="83">
        <f t="shared" si="69"/>
        <v>0.92307692307692313</v>
      </c>
      <c r="CO24" s="459">
        <f t="shared" si="70"/>
        <v>0.92307692307692313</v>
      </c>
      <c r="CP24" s="84">
        <f t="shared" si="71"/>
        <v>0.8179067041086181</v>
      </c>
      <c r="CQ24" s="27">
        <f t="shared" si="72"/>
        <v>13</v>
      </c>
      <c r="CR24" s="23">
        <f t="shared" si="73"/>
        <v>13</v>
      </c>
      <c r="CS24" s="7">
        <f t="shared" si="74"/>
        <v>4.3</v>
      </c>
      <c r="CT24" s="83">
        <f t="shared" si="75"/>
        <v>0.92307692307692313</v>
      </c>
      <c r="CU24" s="459">
        <f t="shared" si="76"/>
        <v>0.92307692307692313</v>
      </c>
      <c r="CV24" s="84">
        <f t="shared" si="77"/>
        <v>0.8179067041086181</v>
      </c>
      <c r="CW24" s="27">
        <f t="shared" si="78"/>
        <v>18</v>
      </c>
      <c r="CX24" s="23">
        <f t="shared" si="79"/>
        <v>18</v>
      </c>
      <c r="CY24" s="7">
        <f t="shared" si="80"/>
        <v>3.7</v>
      </c>
      <c r="CZ24" s="83">
        <f t="shared" si="81"/>
        <v>0.66666666666666663</v>
      </c>
      <c r="DA24" s="459">
        <f t="shared" si="82"/>
        <v>0.66666666666666663</v>
      </c>
      <c r="DB24" s="84">
        <f t="shared" si="83"/>
        <v>0.95054022369379931</v>
      </c>
      <c r="DC24" s="27">
        <f t="shared" si="84"/>
        <v>18</v>
      </c>
      <c r="DD24" s="23">
        <f t="shared" si="85"/>
        <v>18</v>
      </c>
      <c r="DE24" s="7">
        <f t="shared" si="86"/>
        <v>3.7</v>
      </c>
      <c r="DF24" s="83">
        <f t="shared" si="87"/>
        <v>0.66666666666666663</v>
      </c>
      <c r="DG24" s="459">
        <f t="shared" si="88"/>
        <v>0.66666666666666663</v>
      </c>
      <c r="DH24" s="84">
        <f t="shared" si="89"/>
        <v>0.95054022369379931</v>
      </c>
      <c r="DI24" s="27">
        <f t="shared" si="90"/>
        <v>14.1</v>
      </c>
      <c r="DJ24" s="23">
        <f t="shared" si="91"/>
        <v>14.1</v>
      </c>
      <c r="DK24" s="7">
        <f t="shared" si="92"/>
        <v>3.2</v>
      </c>
      <c r="DL24" s="83">
        <f t="shared" si="93"/>
        <v>0.85106382978723405</v>
      </c>
      <c r="DM24" s="459">
        <f t="shared" si="94"/>
        <v>0.85106382978723405</v>
      </c>
      <c r="DN24" s="84">
        <f t="shared" si="95"/>
        <v>1.0990621336459554</v>
      </c>
      <c r="DO24" s="27">
        <f t="shared" si="96"/>
        <v>14.1</v>
      </c>
      <c r="DP24" s="23">
        <f t="shared" si="97"/>
        <v>14.1</v>
      </c>
      <c r="DQ24" s="7">
        <f t="shared" si="98"/>
        <v>3.2</v>
      </c>
      <c r="DR24" s="83">
        <f t="shared" si="99"/>
        <v>0.85106382978723405</v>
      </c>
      <c r="DS24" s="459">
        <f t="shared" si="100"/>
        <v>0.85106382978723405</v>
      </c>
      <c r="DT24" s="84">
        <f t="shared" si="101"/>
        <v>1.0990621336459554</v>
      </c>
      <c r="DU24" s="27">
        <f t="shared" si="102"/>
        <v>10.6</v>
      </c>
      <c r="DV24" s="23">
        <f t="shared" si="103"/>
        <v>10.6</v>
      </c>
      <c r="DW24" s="7">
        <f t="shared" si="104"/>
        <v>3.7</v>
      </c>
      <c r="DX24" s="83">
        <f t="shared" si="105"/>
        <v>1.1320754716981132</v>
      </c>
      <c r="DY24" s="459">
        <f t="shared" si="106"/>
        <v>1.1320754716981132</v>
      </c>
      <c r="DZ24" s="84">
        <f t="shared" si="107"/>
        <v>0.95054022369379931</v>
      </c>
      <c r="EA24" s="27">
        <f t="shared" si="108"/>
        <v>10.6</v>
      </c>
      <c r="EB24" s="23">
        <f t="shared" si="109"/>
        <v>10.6</v>
      </c>
      <c r="EC24" s="7">
        <f t="shared" si="110"/>
        <v>3.7</v>
      </c>
      <c r="ED24" s="83">
        <f t="shared" si="111"/>
        <v>1.1320754716981132</v>
      </c>
      <c r="EE24" s="459">
        <f t="shared" si="112"/>
        <v>1.1320754716981132</v>
      </c>
      <c r="EF24" s="84">
        <f t="shared" si="113"/>
        <v>0.95054022369379931</v>
      </c>
      <c r="EG24" s="27">
        <f t="shared" si="114"/>
        <v>16.3</v>
      </c>
      <c r="EH24" s="23">
        <f t="shared" si="115"/>
        <v>16.3</v>
      </c>
      <c r="EI24" s="7">
        <f t="shared" si="116"/>
        <v>3.1</v>
      </c>
      <c r="EJ24" s="83">
        <f t="shared" si="117"/>
        <v>0.73619631901840488</v>
      </c>
      <c r="EK24" s="459">
        <f t="shared" si="118"/>
        <v>0.73619631901840488</v>
      </c>
      <c r="EL24" s="84">
        <f t="shared" si="119"/>
        <v>1.1345157508603412</v>
      </c>
      <c r="EM24" s="27">
        <f t="shared" si="120"/>
        <v>16.3</v>
      </c>
      <c r="EN24" s="23">
        <f t="shared" si="121"/>
        <v>16.3</v>
      </c>
      <c r="EO24" s="7">
        <f t="shared" si="122"/>
        <v>3.1</v>
      </c>
      <c r="EP24" s="83">
        <f t="shared" si="123"/>
        <v>0.73619631901840488</v>
      </c>
      <c r="EQ24" s="459">
        <f t="shared" si="124"/>
        <v>0.73619631901840488</v>
      </c>
      <c r="ER24" s="84">
        <f t="shared" si="125"/>
        <v>1.1345157508603412</v>
      </c>
      <c r="ES24" s="27">
        <f t="shared" si="126"/>
        <v>12.1</v>
      </c>
      <c r="ET24" s="23">
        <f t="shared" si="127"/>
        <v>12.1</v>
      </c>
      <c r="EU24" s="7">
        <f t="shared" si="128"/>
        <v>2.5</v>
      </c>
      <c r="EV24" s="83">
        <f t="shared" si="129"/>
        <v>0.99173553719008267</v>
      </c>
      <c r="EW24" s="459">
        <f t="shared" si="130"/>
        <v>0.99173553719008267</v>
      </c>
      <c r="EX24" s="84">
        <f t="shared" si="131"/>
        <v>1.4067995310668231</v>
      </c>
      <c r="EY24" s="27">
        <f t="shared" si="132"/>
        <v>12.1</v>
      </c>
      <c r="EZ24" s="23">
        <f t="shared" si="133"/>
        <v>12.1</v>
      </c>
      <c r="FA24" s="7">
        <f t="shared" si="134"/>
        <v>2.5</v>
      </c>
      <c r="FB24" s="83">
        <f t="shared" si="135"/>
        <v>0.99173553719008267</v>
      </c>
      <c r="FC24" s="459">
        <f t="shared" si="136"/>
        <v>0.99173553719008267</v>
      </c>
      <c r="FD24" s="84">
        <f t="shared" si="137"/>
        <v>1.4067995310668231</v>
      </c>
      <c r="FE24" s="12"/>
    </row>
    <row r="25" spans="1:161" x14ac:dyDescent="0.25">
      <c r="A25" s="26">
        <v>2015</v>
      </c>
      <c r="B25" s="23">
        <f t="shared" si="0"/>
        <v>12.1</v>
      </c>
      <c r="C25" s="7">
        <f t="shared" si="0"/>
        <v>12.3</v>
      </c>
      <c r="D25" s="83">
        <f t="shared" si="1"/>
        <v>0.99173553719008267</v>
      </c>
      <c r="E25" s="84">
        <f t="shared" si="2"/>
        <v>0.97560975609756095</v>
      </c>
      <c r="F25" s="23">
        <f t="shared" si="3"/>
        <v>12.1</v>
      </c>
      <c r="G25" s="7">
        <f t="shared" si="3"/>
        <v>12.3</v>
      </c>
      <c r="H25" s="83">
        <f t="shared" si="4"/>
        <v>0.99173553719008267</v>
      </c>
      <c r="I25" s="84">
        <f t="shared" si="5"/>
        <v>0.97560975609756095</v>
      </c>
      <c r="J25" s="23">
        <f t="shared" si="6"/>
        <v>12.1</v>
      </c>
      <c r="K25" s="7">
        <f t="shared" si="6"/>
        <v>13.9</v>
      </c>
      <c r="L25" s="83">
        <f t="shared" si="7"/>
        <v>0.99173553719008267</v>
      </c>
      <c r="M25" s="84">
        <f t="shared" si="8"/>
        <v>0.86330935251798557</v>
      </c>
      <c r="N25" s="23">
        <f t="shared" si="9"/>
        <v>11.9</v>
      </c>
      <c r="O25" s="7">
        <f t="shared" si="9"/>
        <v>13.7</v>
      </c>
      <c r="P25" s="83">
        <f t="shared" si="10"/>
        <v>1.0084033613445378</v>
      </c>
      <c r="Q25" s="84">
        <f t="shared" si="11"/>
        <v>0.87591240875912413</v>
      </c>
      <c r="R25" s="23">
        <f t="shared" si="12"/>
        <v>12.5</v>
      </c>
      <c r="S25" s="7">
        <f t="shared" si="12"/>
        <v>13.9</v>
      </c>
      <c r="T25" s="83">
        <f t="shared" si="13"/>
        <v>0.96</v>
      </c>
      <c r="U25" s="84">
        <f t="shared" si="14"/>
        <v>0.86330935251798557</v>
      </c>
      <c r="V25" s="23">
        <f t="shared" si="15"/>
        <v>12.3</v>
      </c>
      <c r="W25" s="7">
        <f t="shared" si="15"/>
        <v>13.7</v>
      </c>
      <c r="X25" s="83">
        <f t="shared" si="16"/>
        <v>0.97560975609756095</v>
      </c>
      <c r="Y25" s="84">
        <f t="shared" si="17"/>
        <v>0.87591240875912413</v>
      </c>
      <c r="Z25" s="23">
        <f t="shared" si="18"/>
        <v>12.4</v>
      </c>
      <c r="AA25" s="7">
        <f t="shared" si="18"/>
        <v>13.6</v>
      </c>
      <c r="AB25" s="83">
        <f t="shared" si="19"/>
        <v>0.96774193548387089</v>
      </c>
      <c r="AC25" s="84">
        <f t="shared" si="20"/>
        <v>0.88235294117647056</v>
      </c>
      <c r="AD25" s="23">
        <f t="shared" si="21"/>
        <v>12.2</v>
      </c>
      <c r="AE25" s="7">
        <f t="shared" si="21"/>
        <v>13.4</v>
      </c>
      <c r="AF25" s="83">
        <f t="shared" si="22"/>
        <v>0.98360655737704927</v>
      </c>
      <c r="AG25" s="84">
        <f t="shared" si="23"/>
        <v>0.89552238805970152</v>
      </c>
      <c r="AH25" s="23">
        <f t="shared" si="24"/>
        <v>12.2</v>
      </c>
      <c r="AI25" s="7">
        <f t="shared" si="24"/>
        <v>13.5</v>
      </c>
      <c r="AJ25" s="83">
        <f t="shared" si="25"/>
        <v>0.98360655737704927</v>
      </c>
      <c r="AK25" s="84">
        <f t="shared" si="26"/>
        <v>0.88888888888888884</v>
      </c>
      <c r="AL25" s="23">
        <f t="shared" si="27"/>
        <v>12</v>
      </c>
      <c r="AM25" s="7">
        <f t="shared" si="27"/>
        <v>13.3</v>
      </c>
      <c r="AN25" s="83">
        <f t="shared" si="28"/>
        <v>1</v>
      </c>
      <c r="AO25" s="451">
        <f t="shared" si="29"/>
        <v>0.90225563909774431</v>
      </c>
      <c r="AP25" s="457">
        <f t="shared" si="30"/>
        <v>12.1</v>
      </c>
      <c r="AQ25" s="7">
        <f t="shared" si="30"/>
        <v>12.3</v>
      </c>
      <c r="AR25" s="83">
        <f t="shared" si="31"/>
        <v>0.99173553719008267</v>
      </c>
      <c r="AS25" s="84">
        <f t="shared" si="32"/>
        <v>0.97560975609756095</v>
      </c>
      <c r="AT25" s="23">
        <f t="shared" si="33"/>
        <v>12.1</v>
      </c>
      <c r="AU25" s="7">
        <f t="shared" si="33"/>
        <v>12.3</v>
      </c>
      <c r="AV25" s="83">
        <f t="shared" si="34"/>
        <v>0.99173553719008267</v>
      </c>
      <c r="AW25" s="84">
        <f t="shared" si="35"/>
        <v>0.97560975609756095</v>
      </c>
      <c r="AX25" s="23">
        <f t="shared" si="36"/>
        <v>12.1</v>
      </c>
      <c r="AY25" s="7">
        <f t="shared" si="36"/>
        <v>12.3</v>
      </c>
      <c r="AZ25" s="83">
        <f t="shared" si="37"/>
        <v>0.99173553719008267</v>
      </c>
      <c r="BA25" s="84">
        <f t="shared" si="38"/>
        <v>0.97560975609756095</v>
      </c>
      <c r="BB25" s="23">
        <f t="shared" si="39"/>
        <v>11.9</v>
      </c>
      <c r="BC25" s="7">
        <f t="shared" si="39"/>
        <v>12.1</v>
      </c>
      <c r="BD25" s="83">
        <f t="shared" si="40"/>
        <v>1.0084033613445378</v>
      </c>
      <c r="BE25" s="84">
        <f t="shared" si="41"/>
        <v>0.99173553719008267</v>
      </c>
      <c r="BF25" s="23">
        <f t="shared" si="42"/>
        <v>12</v>
      </c>
      <c r="BG25" s="7">
        <f t="shared" si="42"/>
        <v>12.2</v>
      </c>
      <c r="BH25" s="83">
        <f t="shared" si="43"/>
        <v>1</v>
      </c>
      <c r="BI25" s="84">
        <f t="shared" si="44"/>
        <v>0.98360655737704927</v>
      </c>
      <c r="BJ25" s="23">
        <f t="shared" si="45"/>
        <v>11.8</v>
      </c>
      <c r="BK25" s="7">
        <f t="shared" si="45"/>
        <v>12</v>
      </c>
      <c r="BL25" s="83">
        <f t="shared" si="46"/>
        <v>1.0169491525423728</v>
      </c>
      <c r="BM25" s="84">
        <f t="shared" si="47"/>
        <v>1</v>
      </c>
      <c r="BN25" s="23">
        <f t="shared" si="48"/>
        <v>11.9</v>
      </c>
      <c r="BO25" s="7">
        <f t="shared" si="48"/>
        <v>12.1</v>
      </c>
      <c r="BP25" s="83">
        <f t="shared" si="49"/>
        <v>1.0084033613445378</v>
      </c>
      <c r="BQ25" s="84">
        <f t="shared" si="50"/>
        <v>0.99173553719008267</v>
      </c>
      <c r="BR25" s="23">
        <f t="shared" si="51"/>
        <v>11.7</v>
      </c>
      <c r="BS25" s="7">
        <f t="shared" si="51"/>
        <v>11.9</v>
      </c>
      <c r="BT25" s="83">
        <f t="shared" si="52"/>
        <v>1.0256410256410258</v>
      </c>
      <c r="BU25" s="84">
        <f t="shared" si="53"/>
        <v>1.0084033613445378</v>
      </c>
      <c r="BV25" s="23">
        <f t="shared" si="54"/>
        <v>11.7</v>
      </c>
      <c r="BW25" s="7">
        <f t="shared" si="54"/>
        <v>11.9</v>
      </c>
      <c r="BX25" s="83">
        <f t="shared" si="55"/>
        <v>1.0256410256410258</v>
      </c>
      <c r="BY25" s="84">
        <f t="shared" si="56"/>
        <v>1.0084033613445378</v>
      </c>
      <c r="BZ25" s="23">
        <f t="shared" si="57"/>
        <v>11.5</v>
      </c>
      <c r="CA25" s="7">
        <f t="shared" si="57"/>
        <v>11.7</v>
      </c>
      <c r="CB25" s="83">
        <f t="shared" si="58"/>
        <v>1.0434782608695652</v>
      </c>
      <c r="CC25" s="84">
        <f t="shared" si="59"/>
        <v>1.0256410256410258</v>
      </c>
      <c r="CD25" s="465"/>
      <c r="CE25" s="457">
        <f t="shared" si="60"/>
        <v>12.2</v>
      </c>
      <c r="CF25" s="23">
        <f t="shared" si="61"/>
        <v>12.2</v>
      </c>
      <c r="CG25" s="7">
        <f t="shared" si="62"/>
        <v>4.3</v>
      </c>
      <c r="CH25" s="83">
        <f t="shared" si="63"/>
        <v>0.98360655737704927</v>
      </c>
      <c r="CI25" s="459">
        <f t="shared" si="64"/>
        <v>0.98360655737704927</v>
      </c>
      <c r="CJ25" s="84">
        <f t="shared" si="65"/>
        <v>0.8179067041086181</v>
      </c>
      <c r="CK25" s="27">
        <f t="shared" si="66"/>
        <v>13</v>
      </c>
      <c r="CL25" s="23">
        <f t="shared" si="67"/>
        <v>13</v>
      </c>
      <c r="CM25" s="7">
        <f t="shared" si="68"/>
        <v>4.3</v>
      </c>
      <c r="CN25" s="83">
        <f t="shared" si="69"/>
        <v>0.92307692307692313</v>
      </c>
      <c r="CO25" s="459">
        <f t="shared" si="70"/>
        <v>0.92307692307692313</v>
      </c>
      <c r="CP25" s="84">
        <f t="shared" si="71"/>
        <v>0.8179067041086181</v>
      </c>
      <c r="CQ25" s="27">
        <f t="shared" si="72"/>
        <v>13</v>
      </c>
      <c r="CR25" s="23">
        <f t="shared" si="73"/>
        <v>13</v>
      </c>
      <c r="CS25" s="7">
        <f t="shared" si="74"/>
        <v>4.3</v>
      </c>
      <c r="CT25" s="83">
        <f t="shared" si="75"/>
        <v>0.92307692307692313</v>
      </c>
      <c r="CU25" s="459">
        <f t="shared" si="76"/>
        <v>0.92307692307692313</v>
      </c>
      <c r="CV25" s="84">
        <f t="shared" si="77"/>
        <v>0.8179067041086181</v>
      </c>
      <c r="CW25" s="27">
        <f t="shared" si="78"/>
        <v>18</v>
      </c>
      <c r="CX25" s="23">
        <f t="shared" si="79"/>
        <v>18</v>
      </c>
      <c r="CY25" s="7">
        <f t="shared" si="80"/>
        <v>3.7</v>
      </c>
      <c r="CZ25" s="83">
        <f t="shared" si="81"/>
        <v>0.66666666666666663</v>
      </c>
      <c r="DA25" s="459">
        <f t="shared" si="82"/>
        <v>0.66666666666666663</v>
      </c>
      <c r="DB25" s="84">
        <f t="shared" si="83"/>
        <v>0.95054022369379931</v>
      </c>
      <c r="DC25" s="27">
        <f t="shared" si="84"/>
        <v>18</v>
      </c>
      <c r="DD25" s="23">
        <f t="shared" si="85"/>
        <v>18</v>
      </c>
      <c r="DE25" s="7">
        <f t="shared" si="86"/>
        <v>3.7</v>
      </c>
      <c r="DF25" s="83">
        <f t="shared" si="87"/>
        <v>0.66666666666666663</v>
      </c>
      <c r="DG25" s="459">
        <f t="shared" si="88"/>
        <v>0.66666666666666663</v>
      </c>
      <c r="DH25" s="84">
        <f t="shared" si="89"/>
        <v>0.95054022369379931</v>
      </c>
      <c r="DI25" s="27">
        <f t="shared" si="90"/>
        <v>14.1</v>
      </c>
      <c r="DJ25" s="23">
        <f t="shared" si="91"/>
        <v>14.1</v>
      </c>
      <c r="DK25" s="7">
        <f t="shared" si="92"/>
        <v>3.2</v>
      </c>
      <c r="DL25" s="83">
        <f t="shared" si="93"/>
        <v>0.85106382978723405</v>
      </c>
      <c r="DM25" s="459">
        <f t="shared" si="94"/>
        <v>0.85106382978723405</v>
      </c>
      <c r="DN25" s="84">
        <f t="shared" si="95"/>
        <v>1.0990621336459554</v>
      </c>
      <c r="DO25" s="27">
        <f t="shared" si="96"/>
        <v>14.1</v>
      </c>
      <c r="DP25" s="23">
        <f t="shared" si="97"/>
        <v>14.1</v>
      </c>
      <c r="DQ25" s="7">
        <f t="shared" si="98"/>
        <v>3.2</v>
      </c>
      <c r="DR25" s="83">
        <f t="shared" si="99"/>
        <v>0.85106382978723405</v>
      </c>
      <c r="DS25" s="459">
        <f t="shared" si="100"/>
        <v>0.85106382978723405</v>
      </c>
      <c r="DT25" s="84">
        <f t="shared" si="101"/>
        <v>1.0990621336459554</v>
      </c>
      <c r="DU25" s="27">
        <f t="shared" si="102"/>
        <v>10.6</v>
      </c>
      <c r="DV25" s="23">
        <f t="shared" si="103"/>
        <v>10.6</v>
      </c>
      <c r="DW25" s="7">
        <f t="shared" si="104"/>
        <v>3.7</v>
      </c>
      <c r="DX25" s="83">
        <f t="shared" si="105"/>
        <v>1.1320754716981132</v>
      </c>
      <c r="DY25" s="459">
        <f t="shared" si="106"/>
        <v>1.1320754716981132</v>
      </c>
      <c r="DZ25" s="84">
        <f t="shared" si="107"/>
        <v>0.95054022369379931</v>
      </c>
      <c r="EA25" s="27">
        <f t="shared" si="108"/>
        <v>10.6</v>
      </c>
      <c r="EB25" s="23">
        <f t="shared" si="109"/>
        <v>10.6</v>
      </c>
      <c r="EC25" s="7">
        <f t="shared" si="110"/>
        <v>3.7</v>
      </c>
      <c r="ED25" s="83">
        <f t="shared" si="111"/>
        <v>1.1320754716981132</v>
      </c>
      <c r="EE25" s="459">
        <f t="shared" si="112"/>
        <v>1.1320754716981132</v>
      </c>
      <c r="EF25" s="84">
        <f t="shared" si="113"/>
        <v>0.95054022369379931</v>
      </c>
      <c r="EG25" s="27">
        <f t="shared" si="114"/>
        <v>16.3</v>
      </c>
      <c r="EH25" s="23">
        <f t="shared" si="115"/>
        <v>16.3</v>
      </c>
      <c r="EI25" s="7">
        <f t="shared" si="116"/>
        <v>3.1</v>
      </c>
      <c r="EJ25" s="83">
        <f t="shared" si="117"/>
        <v>0.73619631901840488</v>
      </c>
      <c r="EK25" s="459">
        <f t="shared" si="118"/>
        <v>0.73619631901840488</v>
      </c>
      <c r="EL25" s="84">
        <f t="shared" si="119"/>
        <v>1.1345157508603412</v>
      </c>
      <c r="EM25" s="27">
        <f t="shared" si="120"/>
        <v>16.3</v>
      </c>
      <c r="EN25" s="23">
        <f t="shared" si="121"/>
        <v>16.3</v>
      </c>
      <c r="EO25" s="7">
        <f t="shared" si="122"/>
        <v>3.1</v>
      </c>
      <c r="EP25" s="83">
        <f t="shared" si="123"/>
        <v>0.73619631901840488</v>
      </c>
      <c r="EQ25" s="459">
        <f t="shared" si="124"/>
        <v>0.73619631901840488</v>
      </c>
      <c r="ER25" s="84">
        <f t="shared" si="125"/>
        <v>1.1345157508603412</v>
      </c>
      <c r="ES25" s="27">
        <f t="shared" si="126"/>
        <v>12.1</v>
      </c>
      <c r="ET25" s="23">
        <f t="shared" si="127"/>
        <v>12.1</v>
      </c>
      <c r="EU25" s="7">
        <f t="shared" si="128"/>
        <v>2.5</v>
      </c>
      <c r="EV25" s="83">
        <f t="shared" si="129"/>
        <v>0.99173553719008267</v>
      </c>
      <c r="EW25" s="459">
        <f t="shared" si="130"/>
        <v>0.99173553719008267</v>
      </c>
      <c r="EX25" s="84">
        <f t="shared" si="131"/>
        <v>1.4067995310668231</v>
      </c>
      <c r="EY25" s="27">
        <f t="shared" si="132"/>
        <v>12.1</v>
      </c>
      <c r="EZ25" s="23">
        <f t="shared" si="133"/>
        <v>12.1</v>
      </c>
      <c r="FA25" s="7">
        <f t="shared" si="134"/>
        <v>2.5</v>
      </c>
      <c r="FB25" s="83">
        <f t="shared" si="135"/>
        <v>0.99173553719008267</v>
      </c>
      <c r="FC25" s="459">
        <f t="shared" si="136"/>
        <v>0.99173553719008267</v>
      </c>
      <c r="FD25" s="84">
        <f t="shared" si="137"/>
        <v>1.4067995310668231</v>
      </c>
      <c r="FE25" s="12"/>
    </row>
    <row r="26" spans="1:161" x14ac:dyDescent="0.25">
      <c r="A26" s="26">
        <v>2016</v>
      </c>
      <c r="B26" s="23">
        <f t="shared" si="0"/>
        <v>12.1</v>
      </c>
      <c r="C26" s="7">
        <f t="shared" si="0"/>
        <v>12.3</v>
      </c>
      <c r="D26" s="83">
        <f t="shared" si="1"/>
        <v>0.99173553719008267</v>
      </c>
      <c r="E26" s="84">
        <f t="shared" si="2"/>
        <v>0.97560975609756095</v>
      </c>
      <c r="F26" s="23">
        <f t="shared" si="3"/>
        <v>12.1</v>
      </c>
      <c r="G26" s="7">
        <f t="shared" si="3"/>
        <v>12.3</v>
      </c>
      <c r="H26" s="83">
        <f t="shared" si="4"/>
        <v>0.99173553719008267</v>
      </c>
      <c r="I26" s="84">
        <f t="shared" si="5"/>
        <v>0.97560975609756095</v>
      </c>
      <c r="J26" s="23">
        <f t="shared" si="6"/>
        <v>12.1</v>
      </c>
      <c r="K26" s="7">
        <f t="shared" si="6"/>
        <v>13.9</v>
      </c>
      <c r="L26" s="83">
        <f t="shared" si="7"/>
        <v>0.99173553719008267</v>
      </c>
      <c r="M26" s="84">
        <f t="shared" si="8"/>
        <v>0.86330935251798557</v>
      </c>
      <c r="N26" s="23">
        <f t="shared" si="9"/>
        <v>11.9</v>
      </c>
      <c r="O26" s="7">
        <f t="shared" si="9"/>
        <v>13.7</v>
      </c>
      <c r="P26" s="83">
        <f t="shared" si="10"/>
        <v>1.0084033613445378</v>
      </c>
      <c r="Q26" s="84">
        <f t="shared" si="11"/>
        <v>0.87591240875912413</v>
      </c>
      <c r="R26" s="23">
        <f t="shared" si="12"/>
        <v>12.5</v>
      </c>
      <c r="S26" s="7">
        <f t="shared" si="12"/>
        <v>13.9</v>
      </c>
      <c r="T26" s="83">
        <f t="shared" si="13"/>
        <v>0.96</v>
      </c>
      <c r="U26" s="84">
        <f t="shared" si="14"/>
        <v>0.86330935251798557</v>
      </c>
      <c r="V26" s="23">
        <f t="shared" si="15"/>
        <v>12.3</v>
      </c>
      <c r="W26" s="7">
        <f t="shared" si="15"/>
        <v>13.7</v>
      </c>
      <c r="X26" s="83">
        <f t="shared" si="16"/>
        <v>0.97560975609756095</v>
      </c>
      <c r="Y26" s="84">
        <f t="shared" si="17"/>
        <v>0.87591240875912413</v>
      </c>
      <c r="Z26" s="23">
        <f t="shared" si="18"/>
        <v>12.4</v>
      </c>
      <c r="AA26" s="7">
        <f t="shared" si="18"/>
        <v>13.6</v>
      </c>
      <c r="AB26" s="83">
        <f t="shared" si="19"/>
        <v>0.96774193548387089</v>
      </c>
      <c r="AC26" s="84">
        <f t="shared" si="20"/>
        <v>0.88235294117647056</v>
      </c>
      <c r="AD26" s="23">
        <f t="shared" si="21"/>
        <v>12.2</v>
      </c>
      <c r="AE26" s="7">
        <f t="shared" si="21"/>
        <v>13.4</v>
      </c>
      <c r="AF26" s="83">
        <f t="shared" si="22"/>
        <v>0.98360655737704927</v>
      </c>
      <c r="AG26" s="84">
        <f t="shared" si="23"/>
        <v>0.89552238805970152</v>
      </c>
      <c r="AH26" s="23">
        <f t="shared" si="24"/>
        <v>12.2</v>
      </c>
      <c r="AI26" s="7">
        <f t="shared" si="24"/>
        <v>13.5</v>
      </c>
      <c r="AJ26" s="83">
        <f t="shared" si="25"/>
        <v>0.98360655737704927</v>
      </c>
      <c r="AK26" s="84">
        <f t="shared" si="26"/>
        <v>0.88888888888888884</v>
      </c>
      <c r="AL26" s="23">
        <f t="shared" si="27"/>
        <v>12</v>
      </c>
      <c r="AM26" s="7">
        <f t="shared" si="27"/>
        <v>13.3</v>
      </c>
      <c r="AN26" s="83">
        <f t="shared" si="28"/>
        <v>1</v>
      </c>
      <c r="AO26" s="451">
        <f t="shared" si="29"/>
        <v>0.90225563909774431</v>
      </c>
      <c r="AP26" s="457">
        <f t="shared" si="30"/>
        <v>12.1</v>
      </c>
      <c r="AQ26" s="7">
        <f t="shared" si="30"/>
        <v>12.3</v>
      </c>
      <c r="AR26" s="83">
        <f t="shared" si="31"/>
        <v>0.99173553719008267</v>
      </c>
      <c r="AS26" s="84">
        <f t="shared" si="32"/>
        <v>0.97560975609756095</v>
      </c>
      <c r="AT26" s="23">
        <f t="shared" si="33"/>
        <v>12.1</v>
      </c>
      <c r="AU26" s="7">
        <f t="shared" si="33"/>
        <v>12.3</v>
      </c>
      <c r="AV26" s="83">
        <f t="shared" si="34"/>
        <v>0.99173553719008267</v>
      </c>
      <c r="AW26" s="84">
        <f t="shared" si="35"/>
        <v>0.97560975609756095</v>
      </c>
      <c r="AX26" s="23">
        <f t="shared" si="36"/>
        <v>12.1</v>
      </c>
      <c r="AY26" s="7">
        <f t="shared" si="36"/>
        <v>12.3</v>
      </c>
      <c r="AZ26" s="83">
        <f t="shared" si="37"/>
        <v>0.99173553719008267</v>
      </c>
      <c r="BA26" s="84">
        <f t="shared" si="38"/>
        <v>0.97560975609756095</v>
      </c>
      <c r="BB26" s="23">
        <f t="shared" si="39"/>
        <v>11.9</v>
      </c>
      <c r="BC26" s="7">
        <f t="shared" si="39"/>
        <v>12.1</v>
      </c>
      <c r="BD26" s="83">
        <f t="shared" si="40"/>
        <v>1.0084033613445378</v>
      </c>
      <c r="BE26" s="84">
        <f t="shared" si="41"/>
        <v>0.99173553719008267</v>
      </c>
      <c r="BF26" s="23">
        <f t="shared" si="42"/>
        <v>12</v>
      </c>
      <c r="BG26" s="7">
        <f t="shared" si="42"/>
        <v>12.2</v>
      </c>
      <c r="BH26" s="83">
        <f t="shared" si="43"/>
        <v>1</v>
      </c>
      <c r="BI26" s="84">
        <f t="shared" si="44"/>
        <v>0.98360655737704927</v>
      </c>
      <c r="BJ26" s="23">
        <f t="shared" si="45"/>
        <v>11.8</v>
      </c>
      <c r="BK26" s="7">
        <f t="shared" si="45"/>
        <v>12</v>
      </c>
      <c r="BL26" s="83">
        <f t="shared" si="46"/>
        <v>1.0169491525423728</v>
      </c>
      <c r="BM26" s="84">
        <f t="shared" si="47"/>
        <v>1</v>
      </c>
      <c r="BN26" s="23">
        <f t="shared" si="48"/>
        <v>11.9</v>
      </c>
      <c r="BO26" s="7">
        <f t="shared" si="48"/>
        <v>12.1</v>
      </c>
      <c r="BP26" s="83">
        <f t="shared" si="49"/>
        <v>1.0084033613445378</v>
      </c>
      <c r="BQ26" s="84">
        <f t="shared" si="50"/>
        <v>0.99173553719008267</v>
      </c>
      <c r="BR26" s="23">
        <f t="shared" si="51"/>
        <v>11.7</v>
      </c>
      <c r="BS26" s="7">
        <f t="shared" si="51"/>
        <v>11.9</v>
      </c>
      <c r="BT26" s="83">
        <f t="shared" si="52"/>
        <v>1.0256410256410258</v>
      </c>
      <c r="BU26" s="84">
        <f t="shared" si="53"/>
        <v>1.0084033613445378</v>
      </c>
      <c r="BV26" s="23">
        <f t="shared" si="54"/>
        <v>11.7</v>
      </c>
      <c r="BW26" s="7">
        <f t="shared" si="54"/>
        <v>11.9</v>
      </c>
      <c r="BX26" s="83">
        <f t="shared" si="55"/>
        <v>1.0256410256410258</v>
      </c>
      <c r="BY26" s="84">
        <f t="shared" si="56"/>
        <v>1.0084033613445378</v>
      </c>
      <c r="BZ26" s="23">
        <f t="shared" si="57"/>
        <v>11.5</v>
      </c>
      <c r="CA26" s="7">
        <f t="shared" si="57"/>
        <v>11.7</v>
      </c>
      <c r="CB26" s="83">
        <f t="shared" si="58"/>
        <v>1.0434782608695652</v>
      </c>
      <c r="CC26" s="84">
        <f t="shared" si="59"/>
        <v>1.0256410256410258</v>
      </c>
      <c r="CD26" s="465"/>
      <c r="CE26" s="457">
        <f t="shared" si="60"/>
        <v>12.2</v>
      </c>
      <c r="CF26" s="23">
        <f t="shared" si="61"/>
        <v>12.2</v>
      </c>
      <c r="CG26" s="7">
        <f t="shared" si="62"/>
        <v>4.3</v>
      </c>
      <c r="CH26" s="83">
        <f t="shared" si="63"/>
        <v>0.98360655737704927</v>
      </c>
      <c r="CI26" s="459">
        <f t="shared" si="64"/>
        <v>0.98360655737704927</v>
      </c>
      <c r="CJ26" s="84">
        <f t="shared" si="65"/>
        <v>0.8179067041086181</v>
      </c>
      <c r="CK26" s="27">
        <f t="shared" si="66"/>
        <v>13</v>
      </c>
      <c r="CL26" s="23">
        <f t="shared" si="67"/>
        <v>13</v>
      </c>
      <c r="CM26" s="7">
        <f t="shared" si="68"/>
        <v>4.3</v>
      </c>
      <c r="CN26" s="83">
        <f t="shared" si="69"/>
        <v>0.92307692307692313</v>
      </c>
      <c r="CO26" s="459">
        <f t="shared" si="70"/>
        <v>0.92307692307692313</v>
      </c>
      <c r="CP26" s="84">
        <f t="shared" si="71"/>
        <v>0.8179067041086181</v>
      </c>
      <c r="CQ26" s="27">
        <f t="shared" si="72"/>
        <v>13</v>
      </c>
      <c r="CR26" s="23">
        <f t="shared" si="73"/>
        <v>13</v>
      </c>
      <c r="CS26" s="7">
        <f t="shared" si="74"/>
        <v>4.3</v>
      </c>
      <c r="CT26" s="83">
        <f t="shared" si="75"/>
        <v>0.92307692307692313</v>
      </c>
      <c r="CU26" s="459">
        <f t="shared" si="76"/>
        <v>0.92307692307692313</v>
      </c>
      <c r="CV26" s="84">
        <f t="shared" si="77"/>
        <v>0.8179067041086181</v>
      </c>
      <c r="CW26" s="27">
        <f t="shared" si="78"/>
        <v>18</v>
      </c>
      <c r="CX26" s="23">
        <f t="shared" si="79"/>
        <v>18</v>
      </c>
      <c r="CY26" s="7">
        <f t="shared" si="80"/>
        <v>3.7</v>
      </c>
      <c r="CZ26" s="83">
        <f t="shared" si="81"/>
        <v>0.66666666666666663</v>
      </c>
      <c r="DA26" s="459">
        <f t="shared" si="82"/>
        <v>0.66666666666666663</v>
      </c>
      <c r="DB26" s="84">
        <f t="shared" si="83"/>
        <v>0.95054022369379931</v>
      </c>
      <c r="DC26" s="27">
        <f t="shared" si="84"/>
        <v>18</v>
      </c>
      <c r="DD26" s="23">
        <f t="shared" si="85"/>
        <v>18</v>
      </c>
      <c r="DE26" s="7">
        <f t="shared" si="86"/>
        <v>3.7</v>
      </c>
      <c r="DF26" s="83">
        <f t="shared" si="87"/>
        <v>0.66666666666666663</v>
      </c>
      <c r="DG26" s="459">
        <f t="shared" si="88"/>
        <v>0.66666666666666663</v>
      </c>
      <c r="DH26" s="84">
        <f t="shared" si="89"/>
        <v>0.95054022369379931</v>
      </c>
      <c r="DI26" s="27">
        <f t="shared" si="90"/>
        <v>14.1</v>
      </c>
      <c r="DJ26" s="23">
        <f t="shared" si="91"/>
        <v>14.1</v>
      </c>
      <c r="DK26" s="7">
        <f t="shared" si="92"/>
        <v>3.2</v>
      </c>
      <c r="DL26" s="83">
        <f t="shared" si="93"/>
        <v>0.85106382978723405</v>
      </c>
      <c r="DM26" s="459">
        <f t="shared" si="94"/>
        <v>0.85106382978723405</v>
      </c>
      <c r="DN26" s="84">
        <f t="shared" si="95"/>
        <v>1.0990621336459554</v>
      </c>
      <c r="DO26" s="27">
        <f t="shared" si="96"/>
        <v>14.1</v>
      </c>
      <c r="DP26" s="23">
        <f t="shared" si="97"/>
        <v>14.1</v>
      </c>
      <c r="DQ26" s="7">
        <f t="shared" si="98"/>
        <v>3.2</v>
      </c>
      <c r="DR26" s="83">
        <f t="shared" si="99"/>
        <v>0.85106382978723405</v>
      </c>
      <c r="DS26" s="459">
        <f t="shared" si="100"/>
        <v>0.85106382978723405</v>
      </c>
      <c r="DT26" s="84">
        <f t="shared" si="101"/>
        <v>1.0990621336459554</v>
      </c>
      <c r="DU26" s="27">
        <f t="shared" si="102"/>
        <v>10.6</v>
      </c>
      <c r="DV26" s="23">
        <f t="shared" si="103"/>
        <v>10.6</v>
      </c>
      <c r="DW26" s="7">
        <f t="shared" si="104"/>
        <v>3.7</v>
      </c>
      <c r="DX26" s="83">
        <f t="shared" si="105"/>
        <v>1.1320754716981132</v>
      </c>
      <c r="DY26" s="459">
        <f t="shared" si="106"/>
        <v>1.1320754716981132</v>
      </c>
      <c r="DZ26" s="84">
        <f t="shared" si="107"/>
        <v>0.95054022369379931</v>
      </c>
      <c r="EA26" s="27">
        <f t="shared" si="108"/>
        <v>10.6</v>
      </c>
      <c r="EB26" s="23">
        <f t="shared" si="109"/>
        <v>10.6</v>
      </c>
      <c r="EC26" s="7">
        <f t="shared" si="110"/>
        <v>3.7</v>
      </c>
      <c r="ED26" s="83">
        <f t="shared" si="111"/>
        <v>1.1320754716981132</v>
      </c>
      <c r="EE26" s="459">
        <f t="shared" si="112"/>
        <v>1.1320754716981132</v>
      </c>
      <c r="EF26" s="84">
        <f t="shared" si="113"/>
        <v>0.95054022369379931</v>
      </c>
      <c r="EG26" s="27">
        <f t="shared" si="114"/>
        <v>16.3</v>
      </c>
      <c r="EH26" s="23">
        <f t="shared" si="115"/>
        <v>16.3</v>
      </c>
      <c r="EI26" s="7">
        <f t="shared" si="116"/>
        <v>3.1</v>
      </c>
      <c r="EJ26" s="83">
        <f t="shared" si="117"/>
        <v>0.73619631901840488</v>
      </c>
      <c r="EK26" s="459">
        <f t="shared" si="118"/>
        <v>0.73619631901840488</v>
      </c>
      <c r="EL26" s="84">
        <f t="shared" si="119"/>
        <v>1.1345157508603412</v>
      </c>
      <c r="EM26" s="27">
        <f t="shared" si="120"/>
        <v>16.3</v>
      </c>
      <c r="EN26" s="23">
        <f t="shared" si="121"/>
        <v>16.3</v>
      </c>
      <c r="EO26" s="7">
        <f t="shared" si="122"/>
        <v>3.1</v>
      </c>
      <c r="EP26" s="83">
        <f t="shared" si="123"/>
        <v>0.73619631901840488</v>
      </c>
      <c r="EQ26" s="459">
        <f t="shared" si="124"/>
        <v>0.73619631901840488</v>
      </c>
      <c r="ER26" s="84">
        <f t="shared" si="125"/>
        <v>1.1345157508603412</v>
      </c>
      <c r="ES26" s="27">
        <f t="shared" si="126"/>
        <v>12.1</v>
      </c>
      <c r="ET26" s="23">
        <f t="shared" si="127"/>
        <v>12.1</v>
      </c>
      <c r="EU26" s="7">
        <f t="shared" si="128"/>
        <v>2.5</v>
      </c>
      <c r="EV26" s="83">
        <f t="shared" si="129"/>
        <v>0.99173553719008267</v>
      </c>
      <c r="EW26" s="459">
        <f t="shared" si="130"/>
        <v>0.99173553719008267</v>
      </c>
      <c r="EX26" s="84">
        <f t="shared" si="131"/>
        <v>1.4067995310668231</v>
      </c>
      <c r="EY26" s="27">
        <f t="shared" si="132"/>
        <v>12.1</v>
      </c>
      <c r="EZ26" s="23">
        <f t="shared" si="133"/>
        <v>12.1</v>
      </c>
      <c r="FA26" s="7">
        <f t="shared" si="134"/>
        <v>2.5</v>
      </c>
      <c r="FB26" s="83">
        <f t="shared" si="135"/>
        <v>0.99173553719008267</v>
      </c>
      <c r="FC26" s="459">
        <f t="shared" si="136"/>
        <v>0.99173553719008267</v>
      </c>
      <c r="FD26" s="84">
        <f t="shared" si="137"/>
        <v>1.4067995310668231</v>
      </c>
      <c r="FE26" s="12"/>
    </row>
    <row r="27" spans="1:161" x14ac:dyDescent="0.25">
      <c r="A27" s="26">
        <v>2017</v>
      </c>
      <c r="B27" s="23">
        <f t="shared" si="0"/>
        <v>12.1</v>
      </c>
      <c r="C27" s="7">
        <f t="shared" si="0"/>
        <v>12.3</v>
      </c>
      <c r="D27" s="83">
        <f t="shared" si="1"/>
        <v>0.99173553719008267</v>
      </c>
      <c r="E27" s="84">
        <f t="shared" si="2"/>
        <v>0.97560975609756095</v>
      </c>
      <c r="F27" s="23">
        <f t="shared" si="3"/>
        <v>12.1</v>
      </c>
      <c r="G27" s="7">
        <f t="shared" si="3"/>
        <v>12.3</v>
      </c>
      <c r="H27" s="83">
        <f t="shared" si="4"/>
        <v>0.99173553719008267</v>
      </c>
      <c r="I27" s="84">
        <f t="shared" si="5"/>
        <v>0.97560975609756095</v>
      </c>
      <c r="J27" s="23">
        <f t="shared" si="6"/>
        <v>12.1</v>
      </c>
      <c r="K27" s="7">
        <f t="shared" si="6"/>
        <v>13.9</v>
      </c>
      <c r="L27" s="83">
        <f t="shared" si="7"/>
        <v>0.99173553719008267</v>
      </c>
      <c r="M27" s="84">
        <f t="shared" si="8"/>
        <v>0.86330935251798557</v>
      </c>
      <c r="N27" s="23">
        <f t="shared" si="9"/>
        <v>11.9</v>
      </c>
      <c r="O27" s="7">
        <f t="shared" si="9"/>
        <v>13.7</v>
      </c>
      <c r="P27" s="83">
        <f t="shared" si="10"/>
        <v>1.0084033613445378</v>
      </c>
      <c r="Q27" s="84">
        <f t="shared" si="11"/>
        <v>0.87591240875912413</v>
      </c>
      <c r="R27" s="23">
        <f t="shared" si="12"/>
        <v>12.5</v>
      </c>
      <c r="S27" s="7">
        <f t="shared" si="12"/>
        <v>13.9</v>
      </c>
      <c r="T27" s="83">
        <f t="shared" si="13"/>
        <v>0.96</v>
      </c>
      <c r="U27" s="84">
        <f t="shared" si="14"/>
        <v>0.86330935251798557</v>
      </c>
      <c r="V27" s="23">
        <f t="shared" si="15"/>
        <v>12.3</v>
      </c>
      <c r="W27" s="7">
        <f t="shared" si="15"/>
        <v>13.7</v>
      </c>
      <c r="X27" s="83">
        <f t="shared" si="16"/>
        <v>0.97560975609756095</v>
      </c>
      <c r="Y27" s="84">
        <f t="shared" si="17"/>
        <v>0.87591240875912413</v>
      </c>
      <c r="Z27" s="23">
        <f t="shared" si="18"/>
        <v>12.4</v>
      </c>
      <c r="AA27" s="7">
        <f t="shared" si="18"/>
        <v>13.6</v>
      </c>
      <c r="AB27" s="83">
        <f t="shared" si="19"/>
        <v>0.96774193548387089</v>
      </c>
      <c r="AC27" s="84">
        <f t="shared" si="20"/>
        <v>0.88235294117647056</v>
      </c>
      <c r="AD27" s="23">
        <f t="shared" si="21"/>
        <v>12.2</v>
      </c>
      <c r="AE27" s="7">
        <f t="shared" si="21"/>
        <v>13.4</v>
      </c>
      <c r="AF27" s="83">
        <f t="shared" si="22"/>
        <v>0.98360655737704927</v>
      </c>
      <c r="AG27" s="84">
        <f t="shared" si="23"/>
        <v>0.89552238805970152</v>
      </c>
      <c r="AH27" s="23">
        <f t="shared" si="24"/>
        <v>12.2</v>
      </c>
      <c r="AI27" s="7">
        <f t="shared" si="24"/>
        <v>13.5</v>
      </c>
      <c r="AJ27" s="83">
        <f t="shared" si="25"/>
        <v>0.98360655737704927</v>
      </c>
      <c r="AK27" s="84">
        <f t="shared" si="26"/>
        <v>0.88888888888888884</v>
      </c>
      <c r="AL27" s="23">
        <f t="shared" si="27"/>
        <v>12</v>
      </c>
      <c r="AM27" s="7">
        <f t="shared" si="27"/>
        <v>13.3</v>
      </c>
      <c r="AN27" s="83">
        <f t="shared" si="28"/>
        <v>1</v>
      </c>
      <c r="AO27" s="451">
        <f t="shared" si="29"/>
        <v>0.90225563909774431</v>
      </c>
      <c r="AP27" s="457">
        <f t="shared" si="30"/>
        <v>12.1</v>
      </c>
      <c r="AQ27" s="7">
        <f t="shared" si="30"/>
        <v>12.3</v>
      </c>
      <c r="AR27" s="83">
        <f t="shared" si="31"/>
        <v>0.99173553719008267</v>
      </c>
      <c r="AS27" s="84">
        <f t="shared" si="32"/>
        <v>0.97560975609756095</v>
      </c>
      <c r="AT27" s="23">
        <f t="shared" si="33"/>
        <v>12.1</v>
      </c>
      <c r="AU27" s="7">
        <f t="shared" si="33"/>
        <v>12.3</v>
      </c>
      <c r="AV27" s="83">
        <f t="shared" si="34"/>
        <v>0.99173553719008267</v>
      </c>
      <c r="AW27" s="84">
        <f t="shared" si="35"/>
        <v>0.97560975609756095</v>
      </c>
      <c r="AX27" s="23">
        <f t="shared" si="36"/>
        <v>12.1</v>
      </c>
      <c r="AY27" s="7">
        <f t="shared" si="36"/>
        <v>12.3</v>
      </c>
      <c r="AZ27" s="83">
        <f t="shared" si="37"/>
        <v>0.99173553719008267</v>
      </c>
      <c r="BA27" s="84">
        <f t="shared" si="38"/>
        <v>0.97560975609756095</v>
      </c>
      <c r="BB27" s="23">
        <f t="shared" si="39"/>
        <v>11.9</v>
      </c>
      <c r="BC27" s="7">
        <f t="shared" si="39"/>
        <v>12.1</v>
      </c>
      <c r="BD27" s="83">
        <f t="shared" si="40"/>
        <v>1.0084033613445378</v>
      </c>
      <c r="BE27" s="84">
        <f t="shared" si="41"/>
        <v>0.99173553719008267</v>
      </c>
      <c r="BF27" s="23">
        <f t="shared" si="42"/>
        <v>12</v>
      </c>
      <c r="BG27" s="7">
        <f t="shared" si="42"/>
        <v>12.2</v>
      </c>
      <c r="BH27" s="83">
        <f t="shared" si="43"/>
        <v>1</v>
      </c>
      <c r="BI27" s="84">
        <f t="shared" si="44"/>
        <v>0.98360655737704927</v>
      </c>
      <c r="BJ27" s="23">
        <f t="shared" si="45"/>
        <v>11.8</v>
      </c>
      <c r="BK27" s="7">
        <f t="shared" si="45"/>
        <v>12</v>
      </c>
      <c r="BL27" s="83">
        <f t="shared" si="46"/>
        <v>1.0169491525423728</v>
      </c>
      <c r="BM27" s="84">
        <f t="shared" si="47"/>
        <v>1</v>
      </c>
      <c r="BN27" s="23">
        <f t="shared" si="48"/>
        <v>11.9</v>
      </c>
      <c r="BO27" s="7">
        <f t="shared" si="48"/>
        <v>12.1</v>
      </c>
      <c r="BP27" s="83">
        <f t="shared" si="49"/>
        <v>1.0084033613445378</v>
      </c>
      <c r="BQ27" s="84">
        <f t="shared" si="50"/>
        <v>0.99173553719008267</v>
      </c>
      <c r="BR27" s="23">
        <f t="shared" si="51"/>
        <v>11.7</v>
      </c>
      <c r="BS27" s="7">
        <f t="shared" si="51"/>
        <v>11.9</v>
      </c>
      <c r="BT27" s="83">
        <f t="shared" si="52"/>
        <v>1.0256410256410258</v>
      </c>
      <c r="BU27" s="84">
        <f t="shared" si="53"/>
        <v>1.0084033613445378</v>
      </c>
      <c r="BV27" s="23">
        <f t="shared" si="54"/>
        <v>11.7</v>
      </c>
      <c r="BW27" s="7">
        <f t="shared" si="54"/>
        <v>11.9</v>
      </c>
      <c r="BX27" s="83">
        <f t="shared" si="55"/>
        <v>1.0256410256410258</v>
      </c>
      <c r="BY27" s="84">
        <f t="shared" si="56"/>
        <v>1.0084033613445378</v>
      </c>
      <c r="BZ27" s="23">
        <f t="shared" si="57"/>
        <v>11.5</v>
      </c>
      <c r="CA27" s="7">
        <f t="shared" si="57"/>
        <v>11.7</v>
      </c>
      <c r="CB27" s="83">
        <f t="shared" si="58"/>
        <v>1.0434782608695652</v>
      </c>
      <c r="CC27" s="84">
        <f t="shared" si="59"/>
        <v>1.0256410256410258</v>
      </c>
      <c r="CD27" s="465"/>
      <c r="CE27" s="457">
        <f t="shared" si="60"/>
        <v>12.2</v>
      </c>
      <c r="CF27" s="23">
        <f t="shared" si="61"/>
        <v>12.2</v>
      </c>
      <c r="CG27" s="7">
        <f t="shared" si="62"/>
        <v>4.3</v>
      </c>
      <c r="CH27" s="83">
        <f t="shared" si="63"/>
        <v>0.98360655737704927</v>
      </c>
      <c r="CI27" s="459">
        <f t="shared" si="64"/>
        <v>0.98360655737704927</v>
      </c>
      <c r="CJ27" s="84">
        <f t="shared" si="65"/>
        <v>0.8179067041086181</v>
      </c>
      <c r="CK27" s="27">
        <f t="shared" si="66"/>
        <v>13</v>
      </c>
      <c r="CL27" s="23">
        <f t="shared" si="67"/>
        <v>13</v>
      </c>
      <c r="CM27" s="7">
        <f t="shared" si="68"/>
        <v>4.3</v>
      </c>
      <c r="CN27" s="83">
        <f t="shared" si="69"/>
        <v>0.92307692307692313</v>
      </c>
      <c r="CO27" s="459">
        <f t="shared" si="70"/>
        <v>0.92307692307692313</v>
      </c>
      <c r="CP27" s="84">
        <f t="shared" si="71"/>
        <v>0.8179067041086181</v>
      </c>
      <c r="CQ27" s="27">
        <f t="shared" si="72"/>
        <v>13</v>
      </c>
      <c r="CR27" s="23">
        <f t="shared" si="73"/>
        <v>13</v>
      </c>
      <c r="CS27" s="7">
        <f t="shared" si="74"/>
        <v>4.3</v>
      </c>
      <c r="CT27" s="83">
        <f t="shared" si="75"/>
        <v>0.92307692307692313</v>
      </c>
      <c r="CU27" s="459">
        <f t="shared" si="76"/>
        <v>0.92307692307692313</v>
      </c>
      <c r="CV27" s="84">
        <f t="shared" si="77"/>
        <v>0.8179067041086181</v>
      </c>
      <c r="CW27" s="27">
        <f t="shared" si="78"/>
        <v>18</v>
      </c>
      <c r="CX27" s="23">
        <f t="shared" si="79"/>
        <v>18</v>
      </c>
      <c r="CY27" s="7">
        <f t="shared" si="80"/>
        <v>3.7</v>
      </c>
      <c r="CZ27" s="83">
        <f t="shared" si="81"/>
        <v>0.66666666666666663</v>
      </c>
      <c r="DA27" s="459">
        <f t="shared" si="82"/>
        <v>0.66666666666666663</v>
      </c>
      <c r="DB27" s="84">
        <f t="shared" si="83"/>
        <v>0.95054022369379931</v>
      </c>
      <c r="DC27" s="27">
        <f t="shared" si="84"/>
        <v>18</v>
      </c>
      <c r="DD27" s="23">
        <f t="shared" si="85"/>
        <v>18</v>
      </c>
      <c r="DE27" s="7">
        <f t="shared" si="86"/>
        <v>3.7</v>
      </c>
      <c r="DF27" s="83">
        <f t="shared" si="87"/>
        <v>0.66666666666666663</v>
      </c>
      <c r="DG27" s="459">
        <f t="shared" si="88"/>
        <v>0.66666666666666663</v>
      </c>
      <c r="DH27" s="84">
        <f t="shared" si="89"/>
        <v>0.95054022369379931</v>
      </c>
      <c r="DI27" s="27">
        <f t="shared" si="90"/>
        <v>14.1</v>
      </c>
      <c r="DJ27" s="23">
        <f t="shared" si="91"/>
        <v>14.1</v>
      </c>
      <c r="DK27" s="7">
        <f t="shared" si="92"/>
        <v>3.2</v>
      </c>
      <c r="DL27" s="83">
        <f t="shared" si="93"/>
        <v>0.85106382978723405</v>
      </c>
      <c r="DM27" s="459">
        <f t="shared" si="94"/>
        <v>0.85106382978723405</v>
      </c>
      <c r="DN27" s="84">
        <f t="shared" si="95"/>
        <v>1.0990621336459554</v>
      </c>
      <c r="DO27" s="27">
        <f t="shared" si="96"/>
        <v>14.1</v>
      </c>
      <c r="DP27" s="23">
        <f t="shared" si="97"/>
        <v>14.1</v>
      </c>
      <c r="DQ27" s="7">
        <f t="shared" si="98"/>
        <v>3.2</v>
      </c>
      <c r="DR27" s="83">
        <f t="shared" si="99"/>
        <v>0.85106382978723405</v>
      </c>
      <c r="DS27" s="459">
        <f t="shared" si="100"/>
        <v>0.85106382978723405</v>
      </c>
      <c r="DT27" s="84">
        <f t="shared" si="101"/>
        <v>1.0990621336459554</v>
      </c>
      <c r="DU27" s="27">
        <f t="shared" si="102"/>
        <v>10.6</v>
      </c>
      <c r="DV27" s="23">
        <f t="shared" si="103"/>
        <v>10.6</v>
      </c>
      <c r="DW27" s="7">
        <f t="shared" si="104"/>
        <v>3.7</v>
      </c>
      <c r="DX27" s="83">
        <f t="shared" si="105"/>
        <v>1.1320754716981132</v>
      </c>
      <c r="DY27" s="459">
        <f t="shared" si="106"/>
        <v>1.1320754716981132</v>
      </c>
      <c r="DZ27" s="84">
        <f t="shared" si="107"/>
        <v>0.95054022369379931</v>
      </c>
      <c r="EA27" s="27">
        <f t="shared" si="108"/>
        <v>10.6</v>
      </c>
      <c r="EB27" s="23">
        <f t="shared" si="109"/>
        <v>10.6</v>
      </c>
      <c r="EC27" s="7">
        <f t="shared" si="110"/>
        <v>3.7</v>
      </c>
      <c r="ED27" s="83">
        <f t="shared" si="111"/>
        <v>1.1320754716981132</v>
      </c>
      <c r="EE27" s="459">
        <f t="shared" si="112"/>
        <v>1.1320754716981132</v>
      </c>
      <c r="EF27" s="84">
        <f t="shared" si="113"/>
        <v>0.95054022369379931</v>
      </c>
      <c r="EG27" s="27">
        <f t="shared" si="114"/>
        <v>16.3</v>
      </c>
      <c r="EH27" s="23">
        <f t="shared" si="115"/>
        <v>16.3</v>
      </c>
      <c r="EI27" s="7">
        <f t="shared" si="116"/>
        <v>3.1</v>
      </c>
      <c r="EJ27" s="83">
        <f t="shared" si="117"/>
        <v>0.73619631901840488</v>
      </c>
      <c r="EK27" s="459">
        <f t="shared" si="118"/>
        <v>0.73619631901840488</v>
      </c>
      <c r="EL27" s="84">
        <f t="shared" si="119"/>
        <v>1.1345157508603412</v>
      </c>
      <c r="EM27" s="27">
        <f t="shared" si="120"/>
        <v>16.3</v>
      </c>
      <c r="EN27" s="23">
        <f t="shared" si="121"/>
        <v>16.3</v>
      </c>
      <c r="EO27" s="7">
        <f t="shared" si="122"/>
        <v>3.1</v>
      </c>
      <c r="EP27" s="83">
        <f t="shared" si="123"/>
        <v>0.73619631901840488</v>
      </c>
      <c r="EQ27" s="459">
        <f t="shared" si="124"/>
        <v>0.73619631901840488</v>
      </c>
      <c r="ER27" s="84">
        <f t="shared" si="125"/>
        <v>1.1345157508603412</v>
      </c>
      <c r="ES27" s="27">
        <f t="shared" si="126"/>
        <v>12.1</v>
      </c>
      <c r="ET27" s="23">
        <f t="shared" si="127"/>
        <v>12.1</v>
      </c>
      <c r="EU27" s="7">
        <f t="shared" si="128"/>
        <v>2.5</v>
      </c>
      <c r="EV27" s="83">
        <f t="shared" si="129"/>
        <v>0.99173553719008267</v>
      </c>
      <c r="EW27" s="459">
        <f t="shared" si="130"/>
        <v>0.99173553719008267</v>
      </c>
      <c r="EX27" s="84">
        <f t="shared" si="131"/>
        <v>1.4067995310668231</v>
      </c>
      <c r="EY27" s="27">
        <f t="shared" si="132"/>
        <v>12.1</v>
      </c>
      <c r="EZ27" s="23">
        <f t="shared" si="133"/>
        <v>12.1</v>
      </c>
      <c r="FA27" s="7">
        <f t="shared" si="134"/>
        <v>2.5</v>
      </c>
      <c r="FB27" s="83">
        <f t="shared" si="135"/>
        <v>0.99173553719008267</v>
      </c>
      <c r="FC27" s="459">
        <f t="shared" si="136"/>
        <v>0.99173553719008267</v>
      </c>
      <c r="FD27" s="84">
        <f t="shared" si="137"/>
        <v>1.4067995310668231</v>
      </c>
      <c r="FE27" s="12"/>
    </row>
    <row r="28" spans="1:161" x14ac:dyDescent="0.25">
      <c r="A28" s="26">
        <v>2018</v>
      </c>
      <c r="B28" s="23">
        <f t="shared" si="0"/>
        <v>12.1</v>
      </c>
      <c r="C28" s="7">
        <f t="shared" si="0"/>
        <v>12.3</v>
      </c>
      <c r="D28" s="83">
        <f t="shared" si="1"/>
        <v>0.99173553719008267</v>
      </c>
      <c r="E28" s="84">
        <f t="shared" si="2"/>
        <v>0.97560975609756095</v>
      </c>
      <c r="F28" s="23">
        <f t="shared" si="3"/>
        <v>12.1</v>
      </c>
      <c r="G28" s="7">
        <f t="shared" si="3"/>
        <v>12.3</v>
      </c>
      <c r="H28" s="83">
        <f t="shared" si="4"/>
        <v>0.99173553719008267</v>
      </c>
      <c r="I28" s="84">
        <f t="shared" si="5"/>
        <v>0.97560975609756095</v>
      </c>
      <c r="J28" s="23">
        <f t="shared" si="6"/>
        <v>12.1</v>
      </c>
      <c r="K28" s="7">
        <f t="shared" si="6"/>
        <v>13.9</v>
      </c>
      <c r="L28" s="83">
        <f t="shared" si="7"/>
        <v>0.99173553719008267</v>
      </c>
      <c r="M28" s="84">
        <f t="shared" si="8"/>
        <v>0.86330935251798557</v>
      </c>
      <c r="N28" s="23">
        <f t="shared" si="9"/>
        <v>11.9</v>
      </c>
      <c r="O28" s="7">
        <f t="shared" si="9"/>
        <v>13.7</v>
      </c>
      <c r="P28" s="83">
        <f t="shared" si="10"/>
        <v>1.0084033613445378</v>
      </c>
      <c r="Q28" s="84">
        <f t="shared" si="11"/>
        <v>0.87591240875912413</v>
      </c>
      <c r="R28" s="23">
        <f t="shared" si="12"/>
        <v>12.5</v>
      </c>
      <c r="S28" s="7">
        <f t="shared" si="12"/>
        <v>13.9</v>
      </c>
      <c r="T28" s="83">
        <f t="shared" si="13"/>
        <v>0.96</v>
      </c>
      <c r="U28" s="84">
        <f t="shared" si="14"/>
        <v>0.86330935251798557</v>
      </c>
      <c r="V28" s="23">
        <f t="shared" si="15"/>
        <v>12.3</v>
      </c>
      <c r="W28" s="7">
        <f t="shared" si="15"/>
        <v>13.7</v>
      </c>
      <c r="X28" s="83">
        <f t="shared" si="16"/>
        <v>0.97560975609756095</v>
      </c>
      <c r="Y28" s="84">
        <f t="shared" si="17"/>
        <v>0.87591240875912413</v>
      </c>
      <c r="Z28" s="23">
        <f t="shared" si="18"/>
        <v>12.4</v>
      </c>
      <c r="AA28" s="7">
        <f t="shared" si="18"/>
        <v>13.6</v>
      </c>
      <c r="AB28" s="83">
        <f t="shared" si="19"/>
        <v>0.96774193548387089</v>
      </c>
      <c r="AC28" s="84">
        <f t="shared" si="20"/>
        <v>0.88235294117647056</v>
      </c>
      <c r="AD28" s="23">
        <f t="shared" si="21"/>
        <v>12.2</v>
      </c>
      <c r="AE28" s="7">
        <f t="shared" si="21"/>
        <v>13.4</v>
      </c>
      <c r="AF28" s="83">
        <f t="shared" si="22"/>
        <v>0.98360655737704927</v>
      </c>
      <c r="AG28" s="84">
        <f t="shared" si="23"/>
        <v>0.89552238805970152</v>
      </c>
      <c r="AH28" s="23">
        <f t="shared" si="24"/>
        <v>12.2</v>
      </c>
      <c r="AI28" s="7">
        <f t="shared" si="24"/>
        <v>13.5</v>
      </c>
      <c r="AJ28" s="83">
        <f t="shared" si="25"/>
        <v>0.98360655737704927</v>
      </c>
      <c r="AK28" s="84">
        <f t="shared" si="26"/>
        <v>0.88888888888888884</v>
      </c>
      <c r="AL28" s="23">
        <f t="shared" si="27"/>
        <v>12</v>
      </c>
      <c r="AM28" s="7">
        <f t="shared" si="27"/>
        <v>13.3</v>
      </c>
      <c r="AN28" s="83">
        <f t="shared" si="28"/>
        <v>1</v>
      </c>
      <c r="AO28" s="451">
        <f t="shared" si="29"/>
        <v>0.90225563909774431</v>
      </c>
      <c r="AP28" s="457">
        <f t="shared" si="30"/>
        <v>12.1</v>
      </c>
      <c r="AQ28" s="7">
        <f t="shared" si="30"/>
        <v>12.3</v>
      </c>
      <c r="AR28" s="83">
        <f t="shared" si="31"/>
        <v>0.99173553719008267</v>
      </c>
      <c r="AS28" s="84">
        <f t="shared" si="32"/>
        <v>0.97560975609756095</v>
      </c>
      <c r="AT28" s="23">
        <f t="shared" si="33"/>
        <v>12.1</v>
      </c>
      <c r="AU28" s="7">
        <f t="shared" si="33"/>
        <v>12.3</v>
      </c>
      <c r="AV28" s="83">
        <f t="shared" si="34"/>
        <v>0.99173553719008267</v>
      </c>
      <c r="AW28" s="84">
        <f t="shared" si="35"/>
        <v>0.97560975609756095</v>
      </c>
      <c r="AX28" s="23">
        <f t="shared" si="36"/>
        <v>12.1</v>
      </c>
      <c r="AY28" s="7">
        <f t="shared" si="36"/>
        <v>12.3</v>
      </c>
      <c r="AZ28" s="83">
        <f t="shared" si="37"/>
        <v>0.99173553719008267</v>
      </c>
      <c r="BA28" s="84">
        <f t="shared" si="38"/>
        <v>0.97560975609756095</v>
      </c>
      <c r="BB28" s="23">
        <f t="shared" si="39"/>
        <v>11.9</v>
      </c>
      <c r="BC28" s="7">
        <f t="shared" si="39"/>
        <v>12.1</v>
      </c>
      <c r="BD28" s="83">
        <f t="shared" si="40"/>
        <v>1.0084033613445378</v>
      </c>
      <c r="BE28" s="84">
        <f t="shared" si="41"/>
        <v>0.99173553719008267</v>
      </c>
      <c r="BF28" s="23">
        <f t="shared" si="42"/>
        <v>12</v>
      </c>
      <c r="BG28" s="7">
        <f t="shared" si="42"/>
        <v>12.2</v>
      </c>
      <c r="BH28" s="83">
        <f t="shared" si="43"/>
        <v>1</v>
      </c>
      <c r="BI28" s="84">
        <f t="shared" si="44"/>
        <v>0.98360655737704927</v>
      </c>
      <c r="BJ28" s="23">
        <f t="shared" si="45"/>
        <v>11.8</v>
      </c>
      <c r="BK28" s="7">
        <f t="shared" si="45"/>
        <v>12</v>
      </c>
      <c r="BL28" s="83">
        <f t="shared" si="46"/>
        <v>1.0169491525423728</v>
      </c>
      <c r="BM28" s="84">
        <f t="shared" si="47"/>
        <v>1</v>
      </c>
      <c r="BN28" s="23">
        <f t="shared" si="48"/>
        <v>11.9</v>
      </c>
      <c r="BO28" s="7">
        <f t="shared" si="48"/>
        <v>12.1</v>
      </c>
      <c r="BP28" s="83">
        <f t="shared" si="49"/>
        <v>1.0084033613445378</v>
      </c>
      <c r="BQ28" s="84">
        <f t="shared" si="50"/>
        <v>0.99173553719008267</v>
      </c>
      <c r="BR28" s="23">
        <f t="shared" si="51"/>
        <v>11.7</v>
      </c>
      <c r="BS28" s="7">
        <f t="shared" si="51"/>
        <v>11.9</v>
      </c>
      <c r="BT28" s="83">
        <f t="shared" si="52"/>
        <v>1.0256410256410258</v>
      </c>
      <c r="BU28" s="84">
        <f t="shared" si="53"/>
        <v>1.0084033613445378</v>
      </c>
      <c r="BV28" s="23">
        <f t="shared" si="54"/>
        <v>11.7</v>
      </c>
      <c r="BW28" s="7">
        <f t="shared" si="54"/>
        <v>11.9</v>
      </c>
      <c r="BX28" s="83">
        <f t="shared" si="55"/>
        <v>1.0256410256410258</v>
      </c>
      <c r="BY28" s="84">
        <f t="shared" si="56"/>
        <v>1.0084033613445378</v>
      </c>
      <c r="BZ28" s="23">
        <f t="shared" si="57"/>
        <v>11.5</v>
      </c>
      <c r="CA28" s="7">
        <f t="shared" si="57"/>
        <v>11.7</v>
      </c>
      <c r="CB28" s="83">
        <f t="shared" si="58"/>
        <v>1.0434782608695652</v>
      </c>
      <c r="CC28" s="84">
        <f t="shared" si="59"/>
        <v>1.0256410256410258</v>
      </c>
      <c r="CD28" s="465"/>
      <c r="CE28" s="457">
        <f t="shared" si="60"/>
        <v>12.2</v>
      </c>
      <c r="CF28" s="23">
        <f t="shared" si="61"/>
        <v>12.2</v>
      </c>
      <c r="CG28" s="7">
        <f t="shared" si="62"/>
        <v>4.3</v>
      </c>
      <c r="CH28" s="83">
        <f t="shared" si="63"/>
        <v>0.98360655737704927</v>
      </c>
      <c r="CI28" s="459">
        <f t="shared" si="64"/>
        <v>0.98360655737704927</v>
      </c>
      <c r="CJ28" s="84">
        <f t="shared" si="65"/>
        <v>0.8179067041086181</v>
      </c>
      <c r="CK28" s="27">
        <f t="shared" si="66"/>
        <v>13</v>
      </c>
      <c r="CL28" s="23">
        <f t="shared" si="67"/>
        <v>13</v>
      </c>
      <c r="CM28" s="7">
        <f t="shared" si="68"/>
        <v>4.3</v>
      </c>
      <c r="CN28" s="83">
        <f t="shared" si="69"/>
        <v>0.92307692307692313</v>
      </c>
      <c r="CO28" s="459">
        <f t="shared" si="70"/>
        <v>0.92307692307692313</v>
      </c>
      <c r="CP28" s="84">
        <f t="shared" si="71"/>
        <v>0.8179067041086181</v>
      </c>
      <c r="CQ28" s="27">
        <f t="shared" si="72"/>
        <v>13</v>
      </c>
      <c r="CR28" s="23">
        <f t="shared" si="73"/>
        <v>13</v>
      </c>
      <c r="CS28" s="7">
        <f t="shared" si="74"/>
        <v>4.3</v>
      </c>
      <c r="CT28" s="83">
        <f t="shared" si="75"/>
        <v>0.92307692307692313</v>
      </c>
      <c r="CU28" s="459">
        <f t="shared" si="76"/>
        <v>0.92307692307692313</v>
      </c>
      <c r="CV28" s="84">
        <f t="shared" si="77"/>
        <v>0.8179067041086181</v>
      </c>
      <c r="CW28" s="27">
        <f t="shared" si="78"/>
        <v>18</v>
      </c>
      <c r="CX28" s="23">
        <f t="shared" si="79"/>
        <v>18</v>
      </c>
      <c r="CY28" s="7">
        <f t="shared" si="80"/>
        <v>3.7</v>
      </c>
      <c r="CZ28" s="83">
        <f t="shared" si="81"/>
        <v>0.66666666666666663</v>
      </c>
      <c r="DA28" s="459">
        <f t="shared" si="82"/>
        <v>0.66666666666666663</v>
      </c>
      <c r="DB28" s="84">
        <f t="shared" si="83"/>
        <v>0.95054022369379931</v>
      </c>
      <c r="DC28" s="27">
        <f t="shared" si="84"/>
        <v>18</v>
      </c>
      <c r="DD28" s="23">
        <f t="shared" si="85"/>
        <v>18</v>
      </c>
      <c r="DE28" s="7">
        <f t="shared" si="86"/>
        <v>3.7</v>
      </c>
      <c r="DF28" s="83">
        <f t="shared" si="87"/>
        <v>0.66666666666666663</v>
      </c>
      <c r="DG28" s="459">
        <f t="shared" si="88"/>
        <v>0.66666666666666663</v>
      </c>
      <c r="DH28" s="84">
        <f t="shared" si="89"/>
        <v>0.95054022369379931</v>
      </c>
      <c r="DI28" s="27">
        <f t="shared" si="90"/>
        <v>14.1</v>
      </c>
      <c r="DJ28" s="23">
        <f t="shared" si="91"/>
        <v>14.1</v>
      </c>
      <c r="DK28" s="7">
        <f t="shared" si="92"/>
        <v>3.2</v>
      </c>
      <c r="DL28" s="83">
        <f t="shared" si="93"/>
        <v>0.85106382978723405</v>
      </c>
      <c r="DM28" s="459">
        <f t="shared" si="94"/>
        <v>0.85106382978723405</v>
      </c>
      <c r="DN28" s="84">
        <f t="shared" si="95"/>
        <v>1.0990621336459554</v>
      </c>
      <c r="DO28" s="27">
        <f t="shared" si="96"/>
        <v>14.1</v>
      </c>
      <c r="DP28" s="23">
        <f t="shared" si="97"/>
        <v>14.1</v>
      </c>
      <c r="DQ28" s="7">
        <f t="shared" si="98"/>
        <v>3.2</v>
      </c>
      <c r="DR28" s="83">
        <f t="shared" si="99"/>
        <v>0.85106382978723405</v>
      </c>
      <c r="DS28" s="459">
        <f t="shared" si="100"/>
        <v>0.85106382978723405</v>
      </c>
      <c r="DT28" s="84">
        <f t="shared" si="101"/>
        <v>1.0990621336459554</v>
      </c>
      <c r="DU28" s="27">
        <f t="shared" si="102"/>
        <v>10.6</v>
      </c>
      <c r="DV28" s="23">
        <f t="shared" si="103"/>
        <v>10.6</v>
      </c>
      <c r="DW28" s="7">
        <f t="shared" si="104"/>
        <v>3.7</v>
      </c>
      <c r="DX28" s="83">
        <f t="shared" si="105"/>
        <v>1.1320754716981132</v>
      </c>
      <c r="DY28" s="459">
        <f t="shared" si="106"/>
        <v>1.1320754716981132</v>
      </c>
      <c r="DZ28" s="84">
        <f t="shared" si="107"/>
        <v>0.95054022369379931</v>
      </c>
      <c r="EA28" s="27">
        <f t="shared" si="108"/>
        <v>10.6</v>
      </c>
      <c r="EB28" s="23">
        <f t="shared" si="109"/>
        <v>10.6</v>
      </c>
      <c r="EC28" s="7">
        <f t="shared" si="110"/>
        <v>3.7</v>
      </c>
      <c r="ED28" s="83">
        <f t="shared" si="111"/>
        <v>1.1320754716981132</v>
      </c>
      <c r="EE28" s="459">
        <f t="shared" si="112"/>
        <v>1.1320754716981132</v>
      </c>
      <c r="EF28" s="84">
        <f t="shared" si="113"/>
        <v>0.95054022369379931</v>
      </c>
      <c r="EG28" s="27">
        <f t="shared" si="114"/>
        <v>16.3</v>
      </c>
      <c r="EH28" s="23">
        <f t="shared" si="115"/>
        <v>16.3</v>
      </c>
      <c r="EI28" s="7">
        <f t="shared" si="116"/>
        <v>3.1</v>
      </c>
      <c r="EJ28" s="83">
        <f t="shared" si="117"/>
        <v>0.73619631901840488</v>
      </c>
      <c r="EK28" s="459">
        <f t="shared" si="118"/>
        <v>0.73619631901840488</v>
      </c>
      <c r="EL28" s="84">
        <f t="shared" si="119"/>
        <v>1.1345157508603412</v>
      </c>
      <c r="EM28" s="27">
        <f t="shared" si="120"/>
        <v>16.3</v>
      </c>
      <c r="EN28" s="23">
        <f t="shared" si="121"/>
        <v>16.3</v>
      </c>
      <c r="EO28" s="7">
        <f t="shared" si="122"/>
        <v>3.1</v>
      </c>
      <c r="EP28" s="83">
        <f t="shared" si="123"/>
        <v>0.73619631901840488</v>
      </c>
      <c r="EQ28" s="459">
        <f t="shared" si="124"/>
        <v>0.73619631901840488</v>
      </c>
      <c r="ER28" s="84">
        <f t="shared" si="125"/>
        <v>1.1345157508603412</v>
      </c>
      <c r="ES28" s="27">
        <f t="shared" si="126"/>
        <v>12.1</v>
      </c>
      <c r="ET28" s="23">
        <f t="shared" si="127"/>
        <v>12.1</v>
      </c>
      <c r="EU28" s="7">
        <f t="shared" si="128"/>
        <v>2.5</v>
      </c>
      <c r="EV28" s="83">
        <f t="shared" si="129"/>
        <v>0.99173553719008267</v>
      </c>
      <c r="EW28" s="459">
        <f t="shared" si="130"/>
        <v>0.99173553719008267</v>
      </c>
      <c r="EX28" s="84">
        <f t="shared" si="131"/>
        <v>1.4067995310668231</v>
      </c>
      <c r="EY28" s="27">
        <f t="shared" si="132"/>
        <v>12.1</v>
      </c>
      <c r="EZ28" s="23">
        <f t="shared" si="133"/>
        <v>12.1</v>
      </c>
      <c r="FA28" s="7">
        <f t="shared" si="134"/>
        <v>2.5</v>
      </c>
      <c r="FB28" s="83">
        <f t="shared" si="135"/>
        <v>0.99173553719008267</v>
      </c>
      <c r="FC28" s="459">
        <f t="shared" si="136"/>
        <v>0.99173553719008267</v>
      </c>
      <c r="FD28" s="84">
        <f t="shared" si="137"/>
        <v>1.4067995310668231</v>
      </c>
      <c r="FE28" s="12"/>
    </row>
    <row r="29" spans="1:161" x14ac:dyDescent="0.25">
      <c r="A29" s="26">
        <v>2019</v>
      </c>
      <c r="B29" s="23">
        <f t="shared" si="0"/>
        <v>12.1</v>
      </c>
      <c r="C29" s="7">
        <f t="shared" si="0"/>
        <v>12.3</v>
      </c>
      <c r="D29" s="83">
        <f t="shared" si="1"/>
        <v>0.99173553719008267</v>
      </c>
      <c r="E29" s="84">
        <f t="shared" si="2"/>
        <v>0.97560975609756095</v>
      </c>
      <c r="F29" s="23">
        <f t="shared" si="3"/>
        <v>12.1</v>
      </c>
      <c r="G29" s="7">
        <f t="shared" si="3"/>
        <v>12.3</v>
      </c>
      <c r="H29" s="83">
        <f t="shared" si="4"/>
        <v>0.99173553719008267</v>
      </c>
      <c r="I29" s="84">
        <f t="shared" si="5"/>
        <v>0.97560975609756095</v>
      </c>
      <c r="J29" s="23">
        <f t="shared" si="6"/>
        <v>12.1</v>
      </c>
      <c r="K29" s="7">
        <f t="shared" si="6"/>
        <v>13.9</v>
      </c>
      <c r="L29" s="83">
        <f t="shared" si="7"/>
        <v>0.99173553719008267</v>
      </c>
      <c r="M29" s="84">
        <f t="shared" si="8"/>
        <v>0.86330935251798557</v>
      </c>
      <c r="N29" s="23">
        <f t="shared" si="9"/>
        <v>11.9</v>
      </c>
      <c r="O29" s="7">
        <f t="shared" si="9"/>
        <v>13.7</v>
      </c>
      <c r="P29" s="83">
        <f t="shared" si="10"/>
        <v>1.0084033613445378</v>
      </c>
      <c r="Q29" s="84">
        <f t="shared" si="11"/>
        <v>0.87591240875912413</v>
      </c>
      <c r="R29" s="23">
        <f t="shared" si="12"/>
        <v>12.5</v>
      </c>
      <c r="S29" s="7">
        <f t="shared" si="12"/>
        <v>13.9</v>
      </c>
      <c r="T29" s="83">
        <f t="shared" si="13"/>
        <v>0.96</v>
      </c>
      <c r="U29" s="84">
        <f t="shared" si="14"/>
        <v>0.86330935251798557</v>
      </c>
      <c r="V29" s="23">
        <f t="shared" si="15"/>
        <v>12.3</v>
      </c>
      <c r="W29" s="7">
        <f t="shared" si="15"/>
        <v>13.7</v>
      </c>
      <c r="X29" s="83">
        <f t="shared" si="16"/>
        <v>0.97560975609756095</v>
      </c>
      <c r="Y29" s="84">
        <f t="shared" si="17"/>
        <v>0.87591240875912413</v>
      </c>
      <c r="Z29" s="23">
        <f t="shared" si="18"/>
        <v>12.4</v>
      </c>
      <c r="AA29" s="7">
        <f t="shared" si="18"/>
        <v>13.6</v>
      </c>
      <c r="AB29" s="83">
        <f t="shared" si="19"/>
        <v>0.96774193548387089</v>
      </c>
      <c r="AC29" s="84">
        <f t="shared" si="20"/>
        <v>0.88235294117647056</v>
      </c>
      <c r="AD29" s="23">
        <f t="shared" si="21"/>
        <v>12.2</v>
      </c>
      <c r="AE29" s="7">
        <f t="shared" si="21"/>
        <v>13.4</v>
      </c>
      <c r="AF29" s="83">
        <f t="shared" si="22"/>
        <v>0.98360655737704927</v>
      </c>
      <c r="AG29" s="84">
        <f t="shared" si="23"/>
        <v>0.89552238805970152</v>
      </c>
      <c r="AH29" s="23">
        <f t="shared" si="24"/>
        <v>12.2</v>
      </c>
      <c r="AI29" s="7">
        <f t="shared" si="24"/>
        <v>13.5</v>
      </c>
      <c r="AJ29" s="83">
        <f t="shared" si="25"/>
        <v>0.98360655737704927</v>
      </c>
      <c r="AK29" s="84">
        <f t="shared" si="26"/>
        <v>0.88888888888888884</v>
      </c>
      <c r="AL29" s="23">
        <f t="shared" si="27"/>
        <v>12</v>
      </c>
      <c r="AM29" s="7">
        <f t="shared" si="27"/>
        <v>13.3</v>
      </c>
      <c r="AN29" s="83">
        <f t="shared" si="28"/>
        <v>1</v>
      </c>
      <c r="AO29" s="451">
        <f t="shared" si="29"/>
        <v>0.90225563909774431</v>
      </c>
      <c r="AP29" s="457">
        <f t="shared" si="30"/>
        <v>12.1</v>
      </c>
      <c r="AQ29" s="7">
        <f t="shared" si="30"/>
        <v>12.3</v>
      </c>
      <c r="AR29" s="83">
        <f t="shared" si="31"/>
        <v>0.99173553719008267</v>
      </c>
      <c r="AS29" s="84">
        <f t="shared" si="32"/>
        <v>0.97560975609756095</v>
      </c>
      <c r="AT29" s="23">
        <f t="shared" si="33"/>
        <v>12.1</v>
      </c>
      <c r="AU29" s="7">
        <f t="shared" si="33"/>
        <v>12.3</v>
      </c>
      <c r="AV29" s="83">
        <f t="shared" si="34"/>
        <v>0.99173553719008267</v>
      </c>
      <c r="AW29" s="84">
        <f t="shared" si="35"/>
        <v>0.97560975609756095</v>
      </c>
      <c r="AX29" s="23">
        <f t="shared" si="36"/>
        <v>12.1</v>
      </c>
      <c r="AY29" s="7">
        <f t="shared" si="36"/>
        <v>12.3</v>
      </c>
      <c r="AZ29" s="83">
        <f t="shared" si="37"/>
        <v>0.99173553719008267</v>
      </c>
      <c r="BA29" s="84">
        <f t="shared" si="38"/>
        <v>0.97560975609756095</v>
      </c>
      <c r="BB29" s="23">
        <f t="shared" si="39"/>
        <v>11.9</v>
      </c>
      <c r="BC29" s="7">
        <f t="shared" si="39"/>
        <v>12.1</v>
      </c>
      <c r="BD29" s="83">
        <f t="shared" si="40"/>
        <v>1.0084033613445378</v>
      </c>
      <c r="BE29" s="84">
        <f t="shared" si="41"/>
        <v>0.99173553719008267</v>
      </c>
      <c r="BF29" s="23">
        <f t="shared" si="42"/>
        <v>12</v>
      </c>
      <c r="BG29" s="7">
        <f t="shared" si="42"/>
        <v>12.2</v>
      </c>
      <c r="BH29" s="83">
        <f t="shared" si="43"/>
        <v>1</v>
      </c>
      <c r="BI29" s="84">
        <f t="shared" si="44"/>
        <v>0.98360655737704927</v>
      </c>
      <c r="BJ29" s="23">
        <f t="shared" si="45"/>
        <v>11.8</v>
      </c>
      <c r="BK29" s="7">
        <f t="shared" si="45"/>
        <v>12</v>
      </c>
      <c r="BL29" s="83">
        <f t="shared" si="46"/>
        <v>1.0169491525423728</v>
      </c>
      <c r="BM29" s="84">
        <f t="shared" si="47"/>
        <v>1</v>
      </c>
      <c r="BN29" s="23">
        <f t="shared" si="48"/>
        <v>11.9</v>
      </c>
      <c r="BO29" s="7">
        <f t="shared" si="48"/>
        <v>12.1</v>
      </c>
      <c r="BP29" s="83">
        <f t="shared" si="49"/>
        <v>1.0084033613445378</v>
      </c>
      <c r="BQ29" s="84">
        <f t="shared" si="50"/>
        <v>0.99173553719008267</v>
      </c>
      <c r="BR29" s="23">
        <f t="shared" si="51"/>
        <v>11.7</v>
      </c>
      <c r="BS29" s="7">
        <f t="shared" si="51"/>
        <v>11.9</v>
      </c>
      <c r="BT29" s="83">
        <f t="shared" si="52"/>
        <v>1.0256410256410258</v>
      </c>
      <c r="BU29" s="84">
        <f t="shared" si="53"/>
        <v>1.0084033613445378</v>
      </c>
      <c r="BV29" s="23">
        <f t="shared" si="54"/>
        <v>11.7</v>
      </c>
      <c r="BW29" s="7">
        <f t="shared" si="54"/>
        <v>11.9</v>
      </c>
      <c r="BX29" s="83">
        <f t="shared" si="55"/>
        <v>1.0256410256410258</v>
      </c>
      <c r="BY29" s="84">
        <f t="shared" si="56"/>
        <v>1.0084033613445378</v>
      </c>
      <c r="BZ29" s="23">
        <f t="shared" si="57"/>
        <v>11.5</v>
      </c>
      <c r="CA29" s="7">
        <f t="shared" si="57"/>
        <v>11.7</v>
      </c>
      <c r="CB29" s="83">
        <f t="shared" si="58"/>
        <v>1.0434782608695652</v>
      </c>
      <c r="CC29" s="84">
        <f t="shared" si="59"/>
        <v>1.0256410256410258</v>
      </c>
      <c r="CD29" s="465"/>
      <c r="CE29" s="457">
        <f t="shared" si="60"/>
        <v>12.2</v>
      </c>
      <c r="CF29" s="23">
        <f t="shared" si="61"/>
        <v>12.2</v>
      </c>
      <c r="CG29" s="7">
        <f t="shared" si="62"/>
        <v>4.3</v>
      </c>
      <c r="CH29" s="83">
        <f t="shared" si="63"/>
        <v>0.98360655737704927</v>
      </c>
      <c r="CI29" s="459">
        <f t="shared" si="64"/>
        <v>0.98360655737704927</v>
      </c>
      <c r="CJ29" s="84">
        <f t="shared" si="65"/>
        <v>0.8179067041086181</v>
      </c>
      <c r="CK29" s="27">
        <f t="shared" si="66"/>
        <v>13</v>
      </c>
      <c r="CL29" s="23">
        <f t="shared" si="67"/>
        <v>13</v>
      </c>
      <c r="CM29" s="7">
        <f t="shared" si="68"/>
        <v>4.3</v>
      </c>
      <c r="CN29" s="83">
        <f t="shared" si="69"/>
        <v>0.92307692307692313</v>
      </c>
      <c r="CO29" s="459">
        <f t="shared" si="70"/>
        <v>0.92307692307692313</v>
      </c>
      <c r="CP29" s="84">
        <f t="shared" si="71"/>
        <v>0.8179067041086181</v>
      </c>
      <c r="CQ29" s="27">
        <f t="shared" si="72"/>
        <v>13</v>
      </c>
      <c r="CR29" s="23">
        <f t="shared" si="73"/>
        <v>13</v>
      </c>
      <c r="CS29" s="7">
        <f t="shared" si="74"/>
        <v>4.3</v>
      </c>
      <c r="CT29" s="83">
        <f t="shared" si="75"/>
        <v>0.92307692307692313</v>
      </c>
      <c r="CU29" s="459">
        <f t="shared" si="76"/>
        <v>0.92307692307692313</v>
      </c>
      <c r="CV29" s="84">
        <f t="shared" si="77"/>
        <v>0.8179067041086181</v>
      </c>
      <c r="CW29" s="27">
        <f t="shared" si="78"/>
        <v>18</v>
      </c>
      <c r="CX29" s="23">
        <f t="shared" si="79"/>
        <v>18</v>
      </c>
      <c r="CY29" s="7">
        <f t="shared" si="80"/>
        <v>3.7</v>
      </c>
      <c r="CZ29" s="83">
        <f t="shared" si="81"/>
        <v>0.66666666666666663</v>
      </c>
      <c r="DA29" s="459">
        <f t="shared" si="82"/>
        <v>0.66666666666666663</v>
      </c>
      <c r="DB29" s="84">
        <f t="shared" si="83"/>
        <v>0.95054022369379931</v>
      </c>
      <c r="DC29" s="27">
        <f t="shared" si="84"/>
        <v>18</v>
      </c>
      <c r="DD29" s="23">
        <f t="shared" si="85"/>
        <v>18</v>
      </c>
      <c r="DE29" s="7">
        <f t="shared" si="86"/>
        <v>3.7</v>
      </c>
      <c r="DF29" s="83">
        <f t="shared" si="87"/>
        <v>0.66666666666666663</v>
      </c>
      <c r="DG29" s="459">
        <f t="shared" si="88"/>
        <v>0.66666666666666663</v>
      </c>
      <c r="DH29" s="84">
        <f t="shared" si="89"/>
        <v>0.95054022369379931</v>
      </c>
      <c r="DI29" s="27">
        <f t="shared" si="90"/>
        <v>14.1</v>
      </c>
      <c r="DJ29" s="23">
        <f t="shared" si="91"/>
        <v>14.1</v>
      </c>
      <c r="DK29" s="7">
        <f t="shared" si="92"/>
        <v>3.2</v>
      </c>
      <c r="DL29" s="83">
        <f t="shared" si="93"/>
        <v>0.85106382978723405</v>
      </c>
      <c r="DM29" s="459">
        <f t="shared" si="94"/>
        <v>0.85106382978723405</v>
      </c>
      <c r="DN29" s="84">
        <f t="shared" si="95"/>
        <v>1.0990621336459554</v>
      </c>
      <c r="DO29" s="27">
        <f t="shared" si="96"/>
        <v>14.1</v>
      </c>
      <c r="DP29" s="23">
        <f t="shared" si="97"/>
        <v>14.1</v>
      </c>
      <c r="DQ29" s="7">
        <f t="shared" si="98"/>
        <v>3.2</v>
      </c>
      <c r="DR29" s="83">
        <f t="shared" si="99"/>
        <v>0.85106382978723405</v>
      </c>
      <c r="DS29" s="459">
        <f t="shared" si="100"/>
        <v>0.85106382978723405</v>
      </c>
      <c r="DT29" s="84">
        <f t="shared" si="101"/>
        <v>1.0990621336459554</v>
      </c>
      <c r="DU29" s="27">
        <f t="shared" si="102"/>
        <v>10.6</v>
      </c>
      <c r="DV29" s="23">
        <f t="shared" si="103"/>
        <v>10.6</v>
      </c>
      <c r="DW29" s="7">
        <f t="shared" si="104"/>
        <v>3.7</v>
      </c>
      <c r="DX29" s="83">
        <f t="shared" si="105"/>
        <v>1.1320754716981132</v>
      </c>
      <c r="DY29" s="459">
        <f t="shared" si="106"/>
        <v>1.1320754716981132</v>
      </c>
      <c r="DZ29" s="84">
        <f t="shared" si="107"/>
        <v>0.95054022369379931</v>
      </c>
      <c r="EA29" s="27">
        <f t="shared" si="108"/>
        <v>10.6</v>
      </c>
      <c r="EB29" s="23">
        <f t="shared" si="109"/>
        <v>10.6</v>
      </c>
      <c r="EC29" s="7">
        <f t="shared" si="110"/>
        <v>3.7</v>
      </c>
      <c r="ED29" s="83">
        <f t="shared" si="111"/>
        <v>1.1320754716981132</v>
      </c>
      <c r="EE29" s="459">
        <f t="shared" si="112"/>
        <v>1.1320754716981132</v>
      </c>
      <c r="EF29" s="84">
        <f t="shared" si="113"/>
        <v>0.95054022369379931</v>
      </c>
      <c r="EG29" s="27">
        <f t="shared" si="114"/>
        <v>16.3</v>
      </c>
      <c r="EH29" s="23">
        <f t="shared" si="115"/>
        <v>16.3</v>
      </c>
      <c r="EI29" s="7">
        <f t="shared" si="116"/>
        <v>3.1</v>
      </c>
      <c r="EJ29" s="83">
        <f t="shared" si="117"/>
        <v>0.73619631901840488</v>
      </c>
      <c r="EK29" s="459">
        <f t="shared" si="118"/>
        <v>0.73619631901840488</v>
      </c>
      <c r="EL29" s="84">
        <f t="shared" si="119"/>
        <v>1.1345157508603412</v>
      </c>
      <c r="EM29" s="27">
        <f t="shared" si="120"/>
        <v>16.3</v>
      </c>
      <c r="EN29" s="23">
        <f t="shared" si="121"/>
        <v>16.3</v>
      </c>
      <c r="EO29" s="7">
        <f t="shared" si="122"/>
        <v>3.1</v>
      </c>
      <c r="EP29" s="83">
        <f t="shared" si="123"/>
        <v>0.73619631901840488</v>
      </c>
      <c r="EQ29" s="459">
        <f t="shared" si="124"/>
        <v>0.73619631901840488</v>
      </c>
      <c r="ER29" s="84">
        <f t="shared" si="125"/>
        <v>1.1345157508603412</v>
      </c>
      <c r="ES29" s="27">
        <f t="shared" si="126"/>
        <v>12.1</v>
      </c>
      <c r="ET29" s="23">
        <f t="shared" si="127"/>
        <v>12.1</v>
      </c>
      <c r="EU29" s="7">
        <f t="shared" si="128"/>
        <v>2.5</v>
      </c>
      <c r="EV29" s="83">
        <f t="shared" si="129"/>
        <v>0.99173553719008267</v>
      </c>
      <c r="EW29" s="459">
        <f t="shared" si="130"/>
        <v>0.99173553719008267</v>
      </c>
      <c r="EX29" s="84">
        <f t="shared" si="131"/>
        <v>1.4067995310668231</v>
      </c>
      <c r="EY29" s="27">
        <f t="shared" si="132"/>
        <v>12.1</v>
      </c>
      <c r="EZ29" s="23">
        <f t="shared" si="133"/>
        <v>12.1</v>
      </c>
      <c r="FA29" s="7">
        <f t="shared" si="134"/>
        <v>2.5</v>
      </c>
      <c r="FB29" s="83">
        <f t="shared" si="135"/>
        <v>0.99173553719008267</v>
      </c>
      <c r="FC29" s="459">
        <f t="shared" si="136"/>
        <v>0.99173553719008267</v>
      </c>
      <c r="FD29" s="84">
        <f t="shared" si="137"/>
        <v>1.4067995310668231</v>
      </c>
      <c r="FE29" s="12"/>
    </row>
    <row r="30" spans="1:161" x14ac:dyDescent="0.25">
      <c r="A30" s="26">
        <v>2020</v>
      </c>
      <c r="B30" s="23">
        <f t="shared" si="0"/>
        <v>12.1</v>
      </c>
      <c r="C30" s="7">
        <f t="shared" si="0"/>
        <v>12.3</v>
      </c>
      <c r="D30" s="83">
        <f t="shared" si="1"/>
        <v>0.99173553719008267</v>
      </c>
      <c r="E30" s="84">
        <f t="shared" si="2"/>
        <v>0.97560975609756095</v>
      </c>
      <c r="F30" s="23">
        <f t="shared" si="3"/>
        <v>12.1</v>
      </c>
      <c r="G30" s="7">
        <f t="shared" si="3"/>
        <v>12.3</v>
      </c>
      <c r="H30" s="83">
        <f t="shared" si="4"/>
        <v>0.99173553719008267</v>
      </c>
      <c r="I30" s="84">
        <f t="shared" si="5"/>
        <v>0.97560975609756095</v>
      </c>
      <c r="J30" s="23">
        <f t="shared" si="6"/>
        <v>12.1</v>
      </c>
      <c r="K30" s="7">
        <f t="shared" si="6"/>
        <v>13.9</v>
      </c>
      <c r="L30" s="83">
        <f t="shared" si="7"/>
        <v>0.99173553719008267</v>
      </c>
      <c r="M30" s="84">
        <f t="shared" si="8"/>
        <v>0.86330935251798557</v>
      </c>
      <c r="N30" s="23">
        <f t="shared" si="9"/>
        <v>11.9</v>
      </c>
      <c r="O30" s="7">
        <f t="shared" si="9"/>
        <v>13.7</v>
      </c>
      <c r="P30" s="83">
        <f t="shared" si="10"/>
        <v>1.0084033613445378</v>
      </c>
      <c r="Q30" s="84">
        <f t="shared" si="11"/>
        <v>0.87591240875912413</v>
      </c>
      <c r="R30" s="23">
        <f t="shared" si="12"/>
        <v>12.5</v>
      </c>
      <c r="S30" s="7">
        <f t="shared" si="12"/>
        <v>13.9</v>
      </c>
      <c r="T30" s="83">
        <f t="shared" si="13"/>
        <v>0.96</v>
      </c>
      <c r="U30" s="84">
        <f t="shared" si="14"/>
        <v>0.86330935251798557</v>
      </c>
      <c r="V30" s="23">
        <f t="shared" si="15"/>
        <v>12.3</v>
      </c>
      <c r="W30" s="7">
        <f t="shared" si="15"/>
        <v>13.7</v>
      </c>
      <c r="X30" s="83">
        <f t="shared" si="16"/>
        <v>0.97560975609756095</v>
      </c>
      <c r="Y30" s="84">
        <f t="shared" si="17"/>
        <v>0.87591240875912413</v>
      </c>
      <c r="Z30" s="23">
        <f t="shared" si="18"/>
        <v>12.4</v>
      </c>
      <c r="AA30" s="7">
        <f t="shared" si="18"/>
        <v>13.6</v>
      </c>
      <c r="AB30" s="83">
        <f t="shared" si="19"/>
        <v>0.96774193548387089</v>
      </c>
      <c r="AC30" s="84">
        <f t="shared" si="20"/>
        <v>0.88235294117647056</v>
      </c>
      <c r="AD30" s="23">
        <f t="shared" si="21"/>
        <v>12.2</v>
      </c>
      <c r="AE30" s="7">
        <f t="shared" si="21"/>
        <v>13.4</v>
      </c>
      <c r="AF30" s="83">
        <f t="shared" si="22"/>
        <v>0.98360655737704927</v>
      </c>
      <c r="AG30" s="84">
        <f t="shared" si="23"/>
        <v>0.89552238805970152</v>
      </c>
      <c r="AH30" s="23">
        <f t="shared" si="24"/>
        <v>12.2</v>
      </c>
      <c r="AI30" s="7">
        <f t="shared" si="24"/>
        <v>13.5</v>
      </c>
      <c r="AJ30" s="83">
        <f t="shared" si="25"/>
        <v>0.98360655737704927</v>
      </c>
      <c r="AK30" s="84">
        <f t="shared" si="26"/>
        <v>0.88888888888888884</v>
      </c>
      <c r="AL30" s="23">
        <f t="shared" si="27"/>
        <v>12</v>
      </c>
      <c r="AM30" s="7">
        <f t="shared" si="27"/>
        <v>13.3</v>
      </c>
      <c r="AN30" s="83">
        <f t="shared" si="28"/>
        <v>1</v>
      </c>
      <c r="AO30" s="451">
        <f t="shared" si="29"/>
        <v>0.90225563909774431</v>
      </c>
      <c r="AP30" s="457">
        <f t="shared" si="30"/>
        <v>12.1</v>
      </c>
      <c r="AQ30" s="7">
        <f t="shared" si="30"/>
        <v>12.3</v>
      </c>
      <c r="AR30" s="83">
        <f t="shared" si="31"/>
        <v>0.99173553719008267</v>
      </c>
      <c r="AS30" s="84">
        <f t="shared" si="32"/>
        <v>0.97560975609756095</v>
      </c>
      <c r="AT30" s="23">
        <f t="shared" si="33"/>
        <v>12.1</v>
      </c>
      <c r="AU30" s="7">
        <f t="shared" si="33"/>
        <v>12.3</v>
      </c>
      <c r="AV30" s="83">
        <f t="shared" si="34"/>
        <v>0.99173553719008267</v>
      </c>
      <c r="AW30" s="84">
        <f t="shared" si="35"/>
        <v>0.97560975609756095</v>
      </c>
      <c r="AX30" s="23">
        <f t="shared" si="36"/>
        <v>12.1</v>
      </c>
      <c r="AY30" s="7">
        <f t="shared" si="36"/>
        <v>12.3</v>
      </c>
      <c r="AZ30" s="83">
        <f t="shared" si="37"/>
        <v>0.99173553719008267</v>
      </c>
      <c r="BA30" s="84">
        <f t="shared" si="38"/>
        <v>0.97560975609756095</v>
      </c>
      <c r="BB30" s="23">
        <f t="shared" si="39"/>
        <v>11.9</v>
      </c>
      <c r="BC30" s="7">
        <f t="shared" si="39"/>
        <v>12.1</v>
      </c>
      <c r="BD30" s="83">
        <f t="shared" si="40"/>
        <v>1.0084033613445378</v>
      </c>
      <c r="BE30" s="84">
        <f t="shared" si="41"/>
        <v>0.99173553719008267</v>
      </c>
      <c r="BF30" s="23">
        <f t="shared" si="42"/>
        <v>12</v>
      </c>
      <c r="BG30" s="7">
        <f t="shared" si="42"/>
        <v>12.2</v>
      </c>
      <c r="BH30" s="83">
        <f t="shared" si="43"/>
        <v>1</v>
      </c>
      <c r="BI30" s="84">
        <f t="shared" si="44"/>
        <v>0.98360655737704927</v>
      </c>
      <c r="BJ30" s="23">
        <f t="shared" si="45"/>
        <v>11.8</v>
      </c>
      <c r="BK30" s="7">
        <f t="shared" si="45"/>
        <v>12</v>
      </c>
      <c r="BL30" s="83">
        <f t="shared" si="46"/>
        <v>1.0169491525423728</v>
      </c>
      <c r="BM30" s="84">
        <f t="shared" si="47"/>
        <v>1</v>
      </c>
      <c r="BN30" s="23">
        <f t="shared" si="48"/>
        <v>11.9</v>
      </c>
      <c r="BO30" s="7">
        <f t="shared" si="48"/>
        <v>12.1</v>
      </c>
      <c r="BP30" s="83">
        <f t="shared" si="49"/>
        <v>1.0084033613445378</v>
      </c>
      <c r="BQ30" s="84">
        <f t="shared" si="50"/>
        <v>0.99173553719008267</v>
      </c>
      <c r="BR30" s="23">
        <f t="shared" si="51"/>
        <v>11.7</v>
      </c>
      <c r="BS30" s="7">
        <f t="shared" si="51"/>
        <v>11.9</v>
      </c>
      <c r="BT30" s="83">
        <f t="shared" si="52"/>
        <v>1.0256410256410258</v>
      </c>
      <c r="BU30" s="84">
        <f t="shared" si="53"/>
        <v>1.0084033613445378</v>
      </c>
      <c r="BV30" s="23">
        <f t="shared" si="54"/>
        <v>11.7</v>
      </c>
      <c r="BW30" s="7">
        <f t="shared" si="54"/>
        <v>11.9</v>
      </c>
      <c r="BX30" s="83">
        <f t="shared" si="55"/>
        <v>1.0256410256410258</v>
      </c>
      <c r="BY30" s="84">
        <f t="shared" si="56"/>
        <v>1.0084033613445378</v>
      </c>
      <c r="BZ30" s="23">
        <f t="shared" si="57"/>
        <v>11.5</v>
      </c>
      <c r="CA30" s="7">
        <f t="shared" si="57"/>
        <v>11.7</v>
      </c>
      <c r="CB30" s="83">
        <f t="shared" si="58"/>
        <v>1.0434782608695652</v>
      </c>
      <c r="CC30" s="84">
        <f t="shared" si="59"/>
        <v>1.0256410256410258</v>
      </c>
      <c r="CD30" s="465"/>
      <c r="CE30" s="457">
        <f t="shared" si="60"/>
        <v>12.2</v>
      </c>
      <c r="CF30" s="23">
        <f t="shared" si="61"/>
        <v>12.2</v>
      </c>
      <c r="CG30" s="7">
        <f t="shared" si="62"/>
        <v>4.3</v>
      </c>
      <c r="CH30" s="83">
        <f t="shared" si="63"/>
        <v>0.98360655737704927</v>
      </c>
      <c r="CI30" s="459">
        <f t="shared" si="64"/>
        <v>0.98360655737704927</v>
      </c>
      <c r="CJ30" s="84">
        <f t="shared" si="65"/>
        <v>0.8179067041086181</v>
      </c>
      <c r="CK30" s="27">
        <f t="shared" si="66"/>
        <v>13</v>
      </c>
      <c r="CL30" s="23">
        <f t="shared" si="67"/>
        <v>13</v>
      </c>
      <c r="CM30" s="7">
        <f t="shared" si="68"/>
        <v>4.3</v>
      </c>
      <c r="CN30" s="83">
        <f t="shared" si="69"/>
        <v>0.92307692307692313</v>
      </c>
      <c r="CO30" s="459">
        <f t="shared" si="70"/>
        <v>0.92307692307692313</v>
      </c>
      <c r="CP30" s="84">
        <f t="shared" si="71"/>
        <v>0.8179067041086181</v>
      </c>
      <c r="CQ30" s="27">
        <f t="shared" si="72"/>
        <v>13</v>
      </c>
      <c r="CR30" s="23">
        <f t="shared" si="73"/>
        <v>13</v>
      </c>
      <c r="CS30" s="7">
        <f t="shared" si="74"/>
        <v>4.3</v>
      </c>
      <c r="CT30" s="83">
        <f t="shared" si="75"/>
        <v>0.92307692307692313</v>
      </c>
      <c r="CU30" s="459">
        <f t="shared" si="76"/>
        <v>0.92307692307692313</v>
      </c>
      <c r="CV30" s="84">
        <f t="shared" si="77"/>
        <v>0.8179067041086181</v>
      </c>
      <c r="CW30" s="27">
        <f t="shared" si="78"/>
        <v>18</v>
      </c>
      <c r="CX30" s="23">
        <f t="shared" si="79"/>
        <v>18</v>
      </c>
      <c r="CY30" s="7">
        <f t="shared" si="80"/>
        <v>3.7</v>
      </c>
      <c r="CZ30" s="83">
        <f t="shared" si="81"/>
        <v>0.66666666666666663</v>
      </c>
      <c r="DA30" s="459">
        <f t="shared" si="82"/>
        <v>0.66666666666666663</v>
      </c>
      <c r="DB30" s="84">
        <f t="shared" si="83"/>
        <v>0.95054022369379931</v>
      </c>
      <c r="DC30" s="27">
        <f t="shared" si="84"/>
        <v>18</v>
      </c>
      <c r="DD30" s="23">
        <f t="shared" si="85"/>
        <v>18</v>
      </c>
      <c r="DE30" s="7">
        <f t="shared" si="86"/>
        <v>3.7</v>
      </c>
      <c r="DF30" s="83">
        <f t="shared" si="87"/>
        <v>0.66666666666666663</v>
      </c>
      <c r="DG30" s="459">
        <f t="shared" si="88"/>
        <v>0.66666666666666663</v>
      </c>
      <c r="DH30" s="84">
        <f t="shared" si="89"/>
        <v>0.95054022369379931</v>
      </c>
      <c r="DI30" s="27">
        <f t="shared" si="90"/>
        <v>14.1</v>
      </c>
      <c r="DJ30" s="23">
        <f t="shared" si="91"/>
        <v>14.1</v>
      </c>
      <c r="DK30" s="7">
        <f t="shared" si="92"/>
        <v>3.2</v>
      </c>
      <c r="DL30" s="83">
        <f t="shared" si="93"/>
        <v>0.85106382978723405</v>
      </c>
      <c r="DM30" s="459">
        <f t="shared" si="94"/>
        <v>0.85106382978723405</v>
      </c>
      <c r="DN30" s="84">
        <f t="shared" si="95"/>
        <v>1.0990621336459554</v>
      </c>
      <c r="DO30" s="27">
        <f t="shared" si="96"/>
        <v>14.1</v>
      </c>
      <c r="DP30" s="23">
        <f t="shared" si="97"/>
        <v>14.1</v>
      </c>
      <c r="DQ30" s="7">
        <f t="shared" si="98"/>
        <v>3.2</v>
      </c>
      <c r="DR30" s="83">
        <f t="shared" si="99"/>
        <v>0.85106382978723405</v>
      </c>
      <c r="DS30" s="459">
        <f t="shared" si="100"/>
        <v>0.85106382978723405</v>
      </c>
      <c r="DT30" s="84">
        <f t="shared" si="101"/>
        <v>1.0990621336459554</v>
      </c>
      <c r="DU30" s="27">
        <f t="shared" si="102"/>
        <v>10.6</v>
      </c>
      <c r="DV30" s="23">
        <f t="shared" si="103"/>
        <v>10.6</v>
      </c>
      <c r="DW30" s="7">
        <f t="shared" si="104"/>
        <v>3.7</v>
      </c>
      <c r="DX30" s="83">
        <f t="shared" si="105"/>
        <v>1.1320754716981132</v>
      </c>
      <c r="DY30" s="459">
        <f t="shared" si="106"/>
        <v>1.1320754716981132</v>
      </c>
      <c r="DZ30" s="84">
        <f t="shared" si="107"/>
        <v>0.95054022369379931</v>
      </c>
      <c r="EA30" s="27">
        <f t="shared" si="108"/>
        <v>10.6</v>
      </c>
      <c r="EB30" s="23">
        <f t="shared" si="109"/>
        <v>10.6</v>
      </c>
      <c r="EC30" s="7">
        <f t="shared" si="110"/>
        <v>3.7</v>
      </c>
      <c r="ED30" s="83">
        <f t="shared" si="111"/>
        <v>1.1320754716981132</v>
      </c>
      <c r="EE30" s="459">
        <f t="shared" si="112"/>
        <v>1.1320754716981132</v>
      </c>
      <c r="EF30" s="84">
        <f t="shared" si="113"/>
        <v>0.95054022369379931</v>
      </c>
      <c r="EG30" s="27">
        <f t="shared" si="114"/>
        <v>16.3</v>
      </c>
      <c r="EH30" s="23">
        <f t="shared" si="115"/>
        <v>16.3</v>
      </c>
      <c r="EI30" s="7">
        <f t="shared" si="116"/>
        <v>3.1</v>
      </c>
      <c r="EJ30" s="83">
        <f t="shared" si="117"/>
        <v>0.73619631901840488</v>
      </c>
      <c r="EK30" s="459">
        <f t="shared" si="118"/>
        <v>0.73619631901840488</v>
      </c>
      <c r="EL30" s="84">
        <f t="shared" si="119"/>
        <v>1.1345157508603412</v>
      </c>
      <c r="EM30" s="27">
        <f t="shared" si="120"/>
        <v>16.3</v>
      </c>
      <c r="EN30" s="23">
        <f t="shared" si="121"/>
        <v>16.3</v>
      </c>
      <c r="EO30" s="7">
        <f t="shared" si="122"/>
        <v>3.1</v>
      </c>
      <c r="EP30" s="83">
        <f t="shared" si="123"/>
        <v>0.73619631901840488</v>
      </c>
      <c r="EQ30" s="459">
        <f t="shared" si="124"/>
        <v>0.73619631901840488</v>
      </c>
      <c r="ER30" s="84">
        <f t="shared" si="125"/>
        <v>1.1345157508603412</v>
      </c>
      <c r="ES30" s="27">
        <f t="shared" si="126"/>
        <v>12.1</v>
      </c>
      <c r="ET30" s="23">
        <f t="shared" si="127"/>
        <v>12.1</v>
      </c>
      <c r="EU30" s="7">
        <f t="shared" si="128"/>
        <v>2.5</v>
      </c>
      <c r="EV30" s="83">
        <f t="shared" si="129"/>
        <v>0.99173553719008267</v>
      </c>
      <c r="EW30" s="459">
        <f t="shared" si="130"/>
        <v>0.99173553719008267</v>
      </c>
      <c r="EX30" s="84">
        <f t="shared" si="131"/>
        <v>1.4067995310668231</v>
      </c>
      <c r="EY30" s="27">
        <f t="shared" si="132"/>
        <v>12.1</v>
      </c>
      <c r="EZ30" s="23">
        <f t="shared" si="133"/>
        <v>12.1</v>
      </c>
      <c r="FA30" s="7">
        <f t="shared" si="134"/>
        <v>2.5</v>
      </c>
      <c r="FB30" s="83">
        <f t="shared" si="135"/>
        <v>0.99173553719008267</v>
      </c>
      <c r="FC30" s="459">
        <f t="shared" si="136"/>
        <v>0.99173553719008267</v>
      </c>
      <c r="FD30" s="84">
        <f t="shared" si="137"/>
        <v>1.4067995310668231</v>
      </c>
      <c r="FE30" s="12"/>
    </row>
    <row r="31" spans="1:161" x14ac:dyDescent="0.25">
      <c r="A31" s="26">
        <v>2021</v>
      </c>
      <c r="B31" s="23">
        <f t="shared" si="0"/>
        <v>12.1</v>
      </c>
      <c r="C31" s="7">
        <f t="shared" si="0"/>
        <v>12.3</v>
      </c>
      <c r="D31" s="83">
        <f t="shared" si="1"/>
        <v>0.99173553719008267</v>
      </c>
      <c r="E31" s="84">
        <f t="shared" si="2"/>
        <v>0.97560975609756095</v>
      </c>
      <c r="F31" s="23">
        <f t="shared" si="3"/>
        <v>12.1</v>
      </c>
      <c r="G31" s="7">
        <f t="shared" si="3"/>
        <v>12.3</v>
      </c>
      <c r="H31" s="83">
        <f t="shared" si="4"/>
        <v>0.99173553719008267</v>
      </c>
      <c r="I31" s="84">
        <f t="shared" si="5"/>
        <v>0.97560975609756095</v>
      </c>
      <c r="J31" s="23">
        <f t="shared" si="6"/>
        <v>12.1</v>
      </c>
      <c r="K31" s="7">
        <f t="shared" si="6"/>
        <v>13.9</v>
      </c>
      <c r="L31" s="83">
        <f t="shared" si="7"/>
        <v>0.99173553719008267</v>
      </c>
      <c r="M31" s="84">
        <f t="shared" si="8"/>
        <v>0.86330935251798557</v>
      </c>
      <c r="N31" s="23">
        <f t="shared" si="9"/>
        <v>11.9</v>
      </c>
      <c r="O31" s="7">
        <f t="shared" si="9"/>
        <v>13.7</v>
      </c>
      <c r="P31" s="83">
        <f t="shared" si="10"/>
        <v>1.0084033613445378</v>
      </c>
      <c r="Q31" s="84">
        <f t="shared" si="11"/>
        <v>0.87591240875912413</v>
      </c>
      <c r="R31" s="23">
        <f t="shared" si="12"/>
        <v>12.5</v>
      </c>
      <c r="S31" s="7">
        <f t="shared" si="12"/>
        <v>13.9</v>
      </c>
      <c r="T31" s="83">
        <f t="shared" si="13"/>
        <v>0.96</v>
      </c>
      <c r="U31" s="84">
        <f t="shared" si="14"/>
        <v>0.86330935251798557</v>
      </c>
      <c r="V31" s="23">
        <f t="shared" si="15"/>
        <v>12.3</v>
      </c>
      <c r="W31" s="7">
        <f t="shared" si="15"/>
        <v>13.7</v>
      </c>
      <c r="X31" s="83">
        <f t="shared" si="16"/>
        <v>0.97560975609756095</v>
      </c>
      <c r="Y31" s="84">
        <f t="shared" si="17"/>
        <v>0.87591240875912413</v>
      </c>
      <c r="Z31" s="23">
        <f t="shared" si="18"/>
        <v>12.4</v>
      </c>
      <c r="AA31" s="7">
        <f t="shared" si="18"/>
        <v>13.6</v>
      </c>
      <c r="AB31" s="83">
        <f t="shared" si="19"/>
        <v>0.96774193548387089</v>
      </c>
      <c r="AC31" s="84">
        <f t="shared" si="20"/>
        <v>0.88235294117647056</v>
      </c>
      <c r="AD31" s="23">
        <f t="shared" si="21"/>
        <v>12.2</v>
      </c>
      <c r="AE31" s="7">
        <f t="shared" si="21"/>
        <v>13.4</v>
      </c>
      <c r="AF31" s="83">
        <f t="shared" si="22"/>
        <v>0.98360655737704927</v>
      </c>
      <c r="AG31" s="84">
        <f t="shared" si="23"/>
        <v>0.89552238805970152</v>
      </c>
      <c r="AH31" s="23">
        <f t="shared" si="24"/>
        <v>12.2</v>
      </c>
      <c r="AI31" s="7">
        <f t="shared" si="24"/>
        <v>13.5</v>
      </c>
      <c r="AJ31" s="83">
        <f t="shared" si="25"/>
        <v>0.98360655737704927</v>
      </c>
      <c r="AK31" s="84">
        <f t="shared" si="26"/>
        <v>0.88888888888888884</v>
      </c>
      <c r="AL31" s="23">
        <f t="shared" si="27"/>
        <v>12</v>
      </c>
      <c r="AM31" s="7">
        <f t="shared" si="27"/>
        <v>13.3</v>
      </c>
      <c r="AN31" s="83">
        <f t="shared" si="28"/>
        <v>1</v>
      </c>
      <c r="AO31" s="451">
        <f t="shared" si="29"/>
        <v>0.90225563909774431</v>
      </c>
      <c r="AP31" s="457">
        <f t="shared" si="30"/>
        <v>12.1</v>
      </c>
      <c r="AQ31" s="7">
        <f t="shared" si="30"/>
        <v>12.3</v>
      </c>
      <c r="AR31" s="83">
        <f t="shared" si="31"/>
        <v>0.99173553719008267</v>
      </c>
      <c r="AS31" s="84">
        <f t="shared" si="32"/>
        <v>0.97560975609756095</v>
      </c>
      <c r="AT31" s="23">
        <f t="shared" si="33"/>
        <v>12.1</v>
      </c>
      <c r="AU31" s="7">
        <f t="shared" si="33"/>
        <v>12.3</v>
      </c>
      <c r="AV31" s="83">
        <f t="shared" si="34"/>
        <v>0.99173553719008267</v>
      </c>
      <c r="AW31" s="84">
        <f t="shared" si="35"/>
        <v>0.97560975609756095</v>
      </c>
      <c r="AX31" s="23">
        <f t="shared" si="36"/>
        <v>12.1</v>
      </c>
      <c r="AY31" s="7">
        <f t="shared" si="36"/>
        <v>12.3</v>
      </c>
      <c r="AZ31" s="83">
        <f t="shared" si="37"/>
        <v>0.99173553719008267</v>
      </c>
      <c r="BA31" s="84">
        <f t="shared" si="38"/>
        <v>0.97560975609756095</v>
      </c>
      <c r="BB31" s="23">
        <f t="shared" si="39"/>
        <v>11.9</v>
      </c>
      <c r="BC31" s="7">
        <f t="shared" si="39"/>
        <v>12.1</v>
      </c>
      <c r="BD31" s="83">
        <f t="shared" si="40"/>
        <v>1.0084033613445378</v>
      </c>
      <c r="BE31" s="84">
        <f t="shared" si="41"/>
        <v>0.99173553719008267</v>
      </c>
      <c r="BF31" s="23">
        <f t="shared" si="42"/>
        <v>12</v>
      </c>
      <c r="BG31" s="7">
        <f t="shared" si="42"/>
        <v>12.2</v>
      </c>
      <c r="BH31" s="83">
        <f t="shared" si="43"/>
        <v>1</v>
      </c>
      <c r="BI31" s="84">
        <f t="shared" si="44"/>
        <v>0.98360655737704927</v>
      </c>
      <c r="BJ31" s="23">
        <f t="shared" si="45"/>
        <v>11.8</v>
      </c>
      <c r="BK31" s="7">
        <f t="shared" si="45"/>
        <v>12</v>
      </c>
      <c r="BL31" s="83">
        <f t="shared" si="46"/>
        <v>1.0169491525423728</v>
      </c>
      <c r="BM31" s="84">
        <f t="shared" si="47"/>
        <v>1</v>
      </c>
      <c r="BN31" s="23">
        <f t="shared" si="48"/>
        <v>11.9</v>
      </c>
      <c r="BO31" s="7">
        <f t="shared" si="48"/>
        <v>12.1</v>
      </c>
      <c r="BP31" s="83">
        <f t="shared" si="49"/>
        <v>1.0084033613445378</v>
      </c>
      <c r="BQ31" s="84">
        <f t="shared" si="50"/>
        <v>0.99173553719008267</v>
      </c>
      <c r="BR31" s="23">
        <f t="shared" si="51"/>
        <v>11.7</v>
      </c>
      <c r="BS31" s="7">
        <f t="shared" si="51"/>
        <v>11.9</v>
      </c>
      <c r="BT31" s="83">
        <f t="shared" si="52"/>
        <v>1.0256410256410258</v>
      </c>
      <c r="BU31" s="84">
        <f t="shared" si="53"/>
        <v>1.0084033613445378</v>
      </c>
      <c r="BV31" s="23">
        <f t="shared" si="54"/>
        <v>11.7</v>
      </c>
      <c r="BW31" s="7">
        <f t="shared" si="54"/>
        <v>11.9</v>
      </c>
      <c r="BX31" s="83">
        <f t="shared" si="55"/>
        <v>1.0256410256410258</v>
      </c>
      <c r="BY31" s="84">
        <f t="shared" si="56"/>
        <v>1.0084033613445378</v>
      </c>
      <c r="BZ31" s="23">
        <f t="shared" si="57"/>
        <v>11.5</v>
      </c>
      <c r="CA31" s="7">
        <f t="shared" si="57"/>
        <v>11.7</v>
      </c>
      <c r="CB31" s="83">
        <f t="shared" si="58"/>
        <v>1.0434782608695652</v>
      </c>
      <c r="CC31" s="84">
        <f t="shared" si="59"/>
        <v>1.0256410256410258</v>
      </c>
      <c r="CD31" s="465"/>
      <c r="CE31" s="457">
        <f t="shared" si="60"/>
        <v>12.2</v>
      </c>
      <c r="CF31" s="23">
        <f t="shared" si="61"/>
        <v>12.2</v>
      </c>
      <c r="CG31" s="7">
        <f t="shared" si="62"/>
        <v>4.3</v>
      </c>
      <c r="CH31" s="83">
        <f t="shared" si="63"/>
        <v>0.98360655737704927</v>
      </c>
      <c r="CI31" s="459">
        <f t="shared" si="64"/>
        <v>0.98360655737704927</v>
      </c>
      <c r="CJ31" s="84">
        <f t="shared" si="65"/>
        <v>0.8179067041086181</v>
      </c>
      <c r="CK31" s="27">
        <f t="shared" si="66"/>
        <v>13</v>
      </c>
      <c r="CL31" s="23">
        <f t="shared" si="67"/>
        <v>13</v>
      </c>
      <c r="CM31" s="7">
        <f t="shared" si="68"/>
        <v>4.3</v>
      </c>
      <c r="CN31" s="83">
        <f t="shared" si="69"/>
        <v>0.92307692307692313</v>
      </c>
      <c r="CO31" s="459">
        <f t="shared" si="70"/>
        <v>0.92307692307692313</v>
      </c>
      <c r="CP31" s="84">
        <f t="shared" si="71"/>
        <v>0.8179067041086181</v>
      </c>
      <c r="CQ31" s="27">
        <f t="shared" si="72"/>
        <v>13</v>
      </c>
      <c r="CR31" s="23">
        <f t="shared" si="73"/>
        <v>13</v>
      </c>
      <c r="CS31" s="7">
        <f t="shared" si="74"/>
        <v>4.3</v>
      </c>
      <c r="CT31" s="83">
        <f t="shared" si="75"/>
        <v>0.92307692307692313</v>
      </c>
      <c r="CU31" s="459">
        <f t="shared" si="76"/>
        <v>0.92307692307692313</v>
      </c>
      <c r="CV31" s="84">
        <f t="shared" si="77"/>
        <v>0.8179067041086181</v>
      </c>
      <c r="CW31" s="27">
        <f t="shared" si="78"/>
        <v>18</v>
      </c>
      <c r="CX31" s="23">
        <f t="shared" si="79"/>
        <v>18</v>
      </c>
      <c r="CY31" s="7">
        <f t="shared" si="80"/>
        <v>3.7</v>
      </c>
      <c r="CZ31" s="83">
        <f t="shared" si="81"/>
        <v>0.66666666666666663</v>
      </c>
      <c r="DA31" s="459">
        <f t="shared" si="82"/>
        <v>0.66666666666666663</v>
      </c>
      <c r="DB31" s="84">
        <f t="shared" si="83"/>
        <v>0.95054022369379931</v>
      </c>
      <c r="DC31" s="27">
        <f t="shared" si="84"/>
        <v>18</v>
      </c>
      <c r="DD31" s="23">
        <f t="shared" si="85"/>
        <v>18</v>
      </c>
      <c r="DE31" s="7">
        <f t="shared" si="86"/>
        <v>3.7</v>
      </c>
      <c r="DF31" s="83">
        <f t="shared" si="87"/>
        <v>0.66666666666666663</v>
      </c>
      <c r="DG31" s="459">
        <f t="shared" si="88"/>
        <v>0.66666666666666663</v>
      </c>
      <c r="DH31" s="84">
        <f t="shared" si="89"/>
        <v>0.95054022369379931</v>
      </c>
      <c r="DI31" s="27">
        <f t="shared" si="90"/>
        <v>14.1</v>
      </c>
      <c r="DJ31" s="23">
        <f t="shared" si="91"/>
        <v>14.1</v>
      </c>
      <c r="DK31" s="7">
        <f t="shared" si="92"/>
        <v>3.2</v>
      </c>
      <c r="DL31" s="83">
        <f t="shared" si="93"/>
        <v>0.85106382978723405</v>
      </c>
      <c r="DM31" s="459">
        <f t="shared" si="94"/>
        <v>0.85106382978723405</v>
      </c>
      <c r="DN31" s="84">
        <f t="shared" si="95"/>
        <v>1.0990621336459554</v>
      </c>
      <c r="DO31" s="27">
        <f t="shared" si="96"/>
        <v>14.1</v>
      </c>
      <c r="DP31" s="23">
        <f t="shared" si="97"/>
        <v>14.1</v>
      </c>
      <c r="DQ31" s="7">
        <f t="shared" si="98"/>
        <v>3.2</v>
      </c>
      <c r="DR31" s="83">
        <f t="shared" si="99"/>
        <v>0.85106382978723405</v>
      </c>
      <c r="DS31" s="459">
        <f t="shared" si="100"/>
        <v>0.85106382978723405</v>
      </c>
      <c r="DT31" s="84">
        <f t="shared" si="101"/>
        <v>1.0990621336459554</v>
      </c>
      <c r="DU31" s="27">
        <f t="shared" si="102"/>
        <v>10.6</v>
      </c>
      <c r="DV31" s="23">
        <f t="shared" si="103"/>
        <v>10.6</v>
      </c>
      <c r="DW31" s="7">
        <f t="shared" si="104"/>
        <v>3.7</v>
      </c>
      <c r="DX31" s="83">
        <f t="shared" si="105"/>
        <v>1.1320754716981132</v>
      </c>
      <c r="DY31" s="459">
        <f t="shared" si="106"/>
        <v>1.1320754716981132</v>
      </c>
      <c r="DZ31" s="84">
        <f t="shared" si="107"/>
        <v>0.95054022369379931</v>
      </c>
      <c r="EA31" s="27">
        <f t="shared" si="108"/>
        <v>10.6</v>
      </c>
      <c r="EB31" s="23">
        <f t="shared" si="109"/>
        <v>10.6</v>
      </c>
      <c r="EC31" s="7">
        <f t="shared" si="110"/>
        <v>3.7</v>
      </c>
      <c r="ED31" s="83">
        <f t="shared" si="111"/>
        <v>1.1320754716981132</v>
      </c>
      <c r="EE31" s="459">
        <f t="shared" si="112"/>
        <v>1.1320754716981132</v>
      </c>
      <c r="EF31" s="84">
        <f t="shared" si="113"/>
        <v>0.95054022369379931</v>
      </c>
      <c r="EG31" s="27">
        <f t="shared" si="114"/>
        <v>16.3</v>
      </c>
      <c r="EH31" s="23">
        <f t="shared" si="115"/>
        <v>16.3</v>
      </c>
      <c r="EI31" s="7">
        <f t="shared" si="116"/>
        <v>3.1</v>
      </c>
      <c r="EJ31" s="83">
        <f t="shared" si="117"/>
        <v>0.73619631901840488</v>
      </c>
      <c r="EK31" s="459">
        <f t="shared" si="118"/>
        <v>0.73619631901840488</v>
      </c>
      <c r="EL31" s="84">
        <f t="shared" si="119"/>
        <v>1.1345157508603412</v>
      </c>
      <c r="EM31" s="27">
        <f t="shared" si="120"/>
        <v>16.3</v>
      </c>
      <c r="EN31" s="23">
        <f t="shared" si="121"/>
        <v>16.3</v>
      </c>
      <c r="EO31" s="7">
        <f t="shared" si="122"/>
        <v>3.1</v>
      </c>
      <c r="EP31" s="83">
        <f t="shared" si="123"/>
        <v>0.73619631901840488</v>
      </c>
      <c r="EQ31" s="459">
        <f t="shared" si="124"/>
        <v>0.73619631901840488</v>
      </c>
      <c r="ER31" s="84">
        <f t="shared" si="125"/>
        <v>1.1345157508603412</v>
      </c>
      <c r="ES31" s="27">
        <f t="shared" si="126"/>
        <v>12.1</v>
      </c>
      <c r="ET31" s="23">
        <f t="shared" si="127"/>
        <v>12.1</v>
      </c>
      <c r="EU31" s="7">
        <f t="shared" si="128"/>
        <v>2.5</v>
      </c>
      <c r="EV31" s="83">
        <f t="shared" si="129"/>
        <v>0.99173553719008267</v>
      </c>
      <c r="EW31" s="459">
        <f t="shared" si="130"/>
        <v>0.99173553719008267</v>
      </c>
      <c r="EX31" s="84">
        <f t="shared" si="131"/>
        <v>1.4067995310668231</v>
      </c>
      <c r="EY31" s="27">
        <f t="shared" si="132"/>
        <v>12.1</v>
      </c>
      <c r="EZ31" s="23">
        <f t="shared" si="133"/>
        <v>12.1</v>
      </c>
      <c r="FA31" s="7">
        <f t="shared" si="134"/>
        <v>2.5</v>
      </c>
      <c r="FB31" s="83">
        <f t="shared" si="135"/>
        <v>0.99173553719008267</v>
      </c>
      <c r="FC31" s="459">
        <f t="shared" si="136"/>
        <v>0.99173553719008267</v>
      </c>
      <c r="FD31" s="84">
        <f t="shared" si="137"/>
        <v>1.4067995310668231</v>
      </c>
      <c r="FE31" s="12"/>
    </row>
    <row r="32" spans="1:161" x14ac:dyDescent="0.25">
      <c r="A32" s="26">
        <v>2022</v>
      </c>
      <c r="B32" s="23">
        <f t="shared" si="0"/>
        <v>12.1</v>
      </c>
      <c r="C32" s="7">
        <f t="shared" si="0"/>
        <v>12.3</v>
      </c>
      <c r="D32" s="83">
        <f t="shared" si="1"/>
        <v>0.99173553719008267</v>
      </c>
      <c r="E32" s="84">
        <f t="shared" si="2"/>
        <v>0.97560975609756095</v>
      </c>
      <c r="F32" s="23">
        <f t="shared" si="3"/>
        <v>12.1</v>
      </c>
      <c r="G32" s="7">
        <f t="shared" si="3"/>
        <v>12.3</v>
      </c>
      <c r="H32" s="83">
        <f t="shared" si="4"/>
        <v>0.99173553719008267</v>
      </c>
      <c r="I32" s="84">
        <f t="shared" si="5"/>
        <v>0.97560975609756095</v>
      </c>
      <c r="J32" s="23">
        <f t="shared" si="6"/>
        <v>12.1</v>
      </c>
      <c r="K32" s="7">
        <f t="shared" si="6"/>
        <v>13.9</v>
      </c>
      <c r="L32" s="83">
        <f t="shared" si="7"/>
        <v>0.99173553719008267</v>
      </c>
      <c r="M32" s="84">
        <f t="shared" si="8"/>
        <v>0.86330935251798557</v>
      </c>
      <c r="N32" s="23">
        <f t="shared" si="9"/>
        <v>11.9</v>
      </c>
      <c r="O32" s="7">
        <f t="shared" si="9"/>
        <v>13.7</v>
      </c>
      <c r="P32" s="83">
        <f t="shared" si="10"/>
        <v>1.0084033613445378</v>
      </c>
      <c r="Q32" s="84">
        <f t="shared" si="11"/>
        <v>0.87591240875912413</v>
      </c>
      <c r="R32" s="23">
        <f t="shared" si="12"/>
        <v>12.5</v>
      </c>
      <c r="S32" s="7">
        <f t="shared" si="12"/>
        <v>13.9</v>
      </c>
      <c r="T32" s="83">
        <f t="shared" si="13"/>
        <v>0.96</v>
      </c>
      <c r="U32" s="84">
        <f t="shared" si="14"/>
        <v>0.86330935251798557</v>
      </c>
      <c r="V32" s="23">
        <f t="shared" si="15"/>
        <v>12.3</v>
      </c>
      <c r="W32" s="7">
        <f t="shared" si="15"/>
        <v>13.7</v>
      </c>
      <c r="X32" s="83">
        <f t="shared" si="16"/>
        <v>0.97560975609756095</v>
      </c>
      <c r="Y32" s="84">
        <f t="shared" si="17"/>
        <v>0.87591240875912413</v>
      </c>
      <c r="Z32" s="23">
        <f t="shared" si="18"/>
        <v>12.4</v>
      </c>
      <c r="AA32" s="7">
        <f t="shared" si="18"/>
        <v>13.6</v>
      </c>
      <c r="AB32" s="83">
        <f t="shared" si="19"/>
        <v>0.96774193548387089</v>
      </c>
      <c r="AC32" s="84">
        <f t="shared" si="20"/>
        <v>0.88235294117647056</v>
      </c>
      <c r="AD32" s="23">
        <f t="shared" si="21"/>
        <v>12.2</v>
      </c>
      <c r="AE32" s="7">
        <f t="shared" si="21"/>
        <v>13.4</v>
      </c>
      <c r="AF32" s="83">
        <f t="shared" si="22"/>
        <v>0.98360655737704927</v>
      </c>
      <c r="AG32" s="84">
        <f t="shared" si="23"/>
        <v>0.89552238805970152</v>
      </c>
      <c r="AH32" s="23">
        <f t="shared" si="24"/>
        <v>12.2</v>
      </c>
      <c r="AI32" s="7">
        <f t="shared" si="24"/>
        <v>13.5</v>
      </c>
      <c r="AJ32" s="83">
        <f t="shared" si="25"/>
        <v>0.98360655737704927</v>
      </c>
      <c r="AK32" s="84">
        <f t="shared" si="26"/>
        <v>0.88888888888888884</v>
      </c>
      <c r="AL32" s="23">
        <f t="shared" si="27"/>
        <v>12</v>
      </c>
      <c r="AM32" s="7">
        <f t="shared" si="27"/>
        <v>13.3</v>
      </c>
      <c r="AN32" s="83">
        <f t="shared" si="28"/>
        <v>1</v>
      </c>
      <c r="AO32" s="451">
        <f t="shared" si="29"/>
        <v>0.90225563909774431</v>
      </c>
      <c r="AP32" s="457">
        <f t="shared" si="30"/>
        <v>12.1</v>
      </c>
      <c r="AQ32" s="7">
        <f t="shared" si="30"/>
        <v>12.3</v>
      </c>
      <c r="AR32" s="83">
        <f t="shared" si="31"/>
        <v>0.99173553719008267</v>
      </c>
      <c r="AS32" s="84">
        <f t="shared" si="32"/>
        <v>0.97560975609756095</v>
      </c>
      <c r="AT32" s="23">
        <f t="shared" si="33"/>
        <v>12.1</v>
      </c>
      <c r="AU32" s="7">
        <f t="shared" si="33"/>
        <v>12.3</v>
      </c>
      <c r="AV32" s="83">
        <f t="shared" si="34"/>
        <v>0.99173553719008267</v>
      </c>
      <c r="AW32" s="84">
        <f t="shared" si="35"/>
        <v>0.97560975609756095</v>
      </c>
      <c r="AX32" s="23">
        <f t="shared" si="36"/>
        <v>12.1</v>
      </c>
      <c r="AY32" s="7">
        <f t="shared" si="36"/>
        <v>12.3</v>
      </c>
      <c r="AZ32" s="83">
        <f t="shared" si="37"/>
        <v>0.99173553719008267</v>
      </c>
      <c r="BA32" s="84">
        <f t="shared" si="38"/>
        <v>0.97560975609756095</v>
      </c>
      <c r="BB32" s="23">
        <f t="shared" si="39"/>
        <v>11.9</v>
      </c>
      <c r="BC32" s="7">
        <f t="shared" si="39"/>
        <v>12.1</v>
      </c>
      <c r="BD32" s="83">
        <f t="shared" si="40"/>
        <v>1.0084033613445378</v>
      </c>
      <c r="BE32" s="84">
        <f t="shared" si="41"/>
        <v>0.99173553719008267</v>
      </c>
      <c r="BF32" s="23">
        <f t="shared" si="42"/>
        <v>12</v>
      </c>
      <c r="BG32" s="7">
        <f t="shared" si="42"/>
        <v>12.2</v>
      </c>
      <c r="BH32" s="83">
        <f t="shared" si="43"/>
        <v>1</v>
      </c>
      <c r="BI32" s="84">
        <f t="shared" si="44"/>
        <v>0.98360655737704927</v>
      </c>
      <c r="BJ32" s="23">
        <f t="shared" si="45"/>
        <v>11.8</v>
      </c>
      <c r="BK32" s="7">
        <f t="shared" si="45"/>
        <v>12</v>
      </c>
      <c r="BL32" s="83">
        <f t="shared" si="46"/>
        <v>1.0169491525423728</v>
      </c>
      <c r="BM32" s="84">
        <f t="shared" si="47"/>
        <v>1</v>
      </c>
      <c r="BN32" s="23">
        <f t="shared" si="48"/>
        <v>11.9</v>
      </c>
      <c r="BO32" s="7">
        <f t="shared" si="48"/>
        <v>12.1</v>
      </c>
      <c r="BP32" s="83">
        <f t="shared" si="49"/>
        <v>1.0084033613445378</v>
      </c>
      <c r="BQ32" s="84">
        <f t="shared" si="50"/>
        <v>0.99173553719008267</v>
      </c>
      <c r="BR32" s="23">
        <f t="shared" si="51"/>
        <v>11.7</v>
      </c>
      <c r="BS32" s="7">
        <f t="shared" si="51"/>
        <v>11.9</v>
      </c>
      <c r="BT32" s="83">
        <f t="shared" si="52"/>
        <v>1.0256410256410258</v>
      </c>
      <c r="BU32" s="84">
        <f t="shared" si="53"/>
        <v>1.0084033613445378</v>
      </c>
      <c r="BV32" s="23">
        <f t="shared" si="54"/>
        <v>11.7</v>
      </c>
      <c r="BW32" s="7">
        <f t="shared" si="54"/>
        <v>11.9</v>
      </c>
      <c r="BX32" s="83">
        <f t="shared" si="55"/>
        <v>1.0256410256410258</v>
      </c>
      <c r="BY32" s="84">
        <f t="shared" si="56"/>
        <v>1.0084033613445378</v>
      </c>
      <c r="BZ32" s="23">
        <f t="shared" si="57"/>
        <v>11.5</v>
      </c>
      <c r="CA32" s="7">
        <f t="shared" si="57"/>
        <v>11.7</v>
      </c>
      <c r="CB32" s="83">
        <f t="shared" si="58"/>
        <v>1.0434782608695652</v>
      </c>
      <c r="CC32" s="84">
        <f t="shared" si="59"/>
        <v>1.0256410256410258</v>
      </c>
      <c r="CD32" s="465"/>
      <c r="CE32" s="457">
        <f t="shared" si="60"/>
        <v>12.2</v>
      </c>
      <c r="CF32" s="23">
        <f t="shared" si="61"/>
        <v>12.2</v>
      </c>
      <c r="CG32" s="7">
        <f t="shared" si="62"/>
        <v>4.3</v>
      </c>
      <c r="CH32" s="83">
        <f t="shared" si="63"/>
        <v>0.98360655737704927</v>
      </c>
      <c r="CI32" s="459">
        <f t="shared" si="64"/>
        <v>0.98360655737704927</v>
      </c>
      <c r="CJ32" s="84">
        <f t="shared" ref="CJ32:CJ36" si="138">12/3.412/CG32</f>
        <v>0.8179067041086181</v>
      </c>
      <c r="CK32" s="27">
        <f t="shared" si="66"/>
        <v>13</v>
      </c>
      <c r="CL32" s="23">
        <f t="shared" si="67"/>
        <v>13</v>
      </c>
      <c r="CM32" s="7">
        <f t="shared" si="68"/>
        <v>4.3</v>
      </c>
      <c r="CN32" s="83">
        <f t="shared" si="69"/>
        <v>0.92307692307692313</v>
      </c>
      <c r="CO32" s="459">
        <f t="shared" si="70"/>
        <v>0.92307692307692313</v>
      </c>
      <c r="CP32" s="84">
        <f t="shared" si="71"/>
        <v>0.8179067041086181</v>
      </c>
      <c r="CQ32" s="27">
        <f t="shared" si="72"/>
        <v>13</v>
      </c>
      <c r="CR32" s="23">
        <f t="shared" si="73"/>
        <v>13</v>
      </c>
      <c r="CS32" s="7">
        <f t="shared" si="74"/>
        <v>4.3</v>
      </c>
      <c r="CT32" s="83">
        <f t="shared" si="75"/>
        <v>0.92307692307692313</v>
      </c>
      <c r="CU32" s="459">
        <f t="shared" si="76"/>
        <v>0.92307692307692313</v>
      </c>
      <c r="CV32" s="84">
        <f t="shared" si="77"/>
        <v>0.8179067041086181</v>
      </c>
      <c r="CW32" s="27">
        <f t="shared" si="78"/>
        <v>18</v>
      </c>
      <c r="CX32" s="23">
        <f t="shared" si="79"/>
        <v>18</v>
      </c>
      <c r="CY32" s="7">
        <f t="shared" si="80"/>
        <v>3.7</v>
      </c>
      <c r="CZ32" s="83">
        <f t="shared" si="81"/>
        <v>0.66666666666666663</v>
      </c>
      <c r="DA32" s="459">
        <f t="shared" si="82"/>
        <v>0.66666666666666663</v>
      </c>
      <c r="DB32" s="84">
        <f t="shared" si="83"/>
        <v>0.95054022369379931</v>
      </c>
      <c r="DC32" s="27">
        <f t="shared" si="84"/>
        <v>18</v>
      </c>
      <c r="DD32" s="23">
        <f t="shared" si="85"/>
        <v>18</v>
      </c>
      <c r="DE32" s="7">
        <f t="shared" si="86"/>
        <v>3.7</v>
      </c>
      <c r="DF32" s="83">
        <f t="shared" si="87"/>
        <v>0.66666666666666663</v>
      </c>
      <c r="DG32" s="459">
        <f t="shared" si="88"/>
        <v>0.66666666666666663</v>
      </c>
      <c r="DH32" s="84">
        <f t="shared" si="89"/>
        <v>0.95054022369379931</v>
      </c>
      <c r="DI32" s="27">
        <f t="shared" si="90"/>
        <v>14.1</v>
      </c>
      <c r="DJ32" s="23">
        <f t="shared" si="91"/>
        <v>14.1</v>
      </c>
      <c r="DK32" s="7">
        <f t="shared" si="92"/>
        <v>3.2</v>
      </c>
      <c r="DL32" s="83">
        <f t="shared" si="93"/>
        <v>0.85106382978723405</v>
      </c>
      <c r="DM32" s="459">
        <f t="shared" si="94"/>
        <v>0.85106382978723405</v>
      </c>
      <c r="DN32" s="84">
        <f t="shared" si="95"/>
        <v>1.0990621336459554</v>
      </c>
      <c r="DO32" s="27">
        <f t="shared" si="96"/>
        <v>14.1</v>
      </c>
      <c r="DP32" s="23">
        <f t="shared" si="97"/>
        <v>14.1</v>
      </c>
      <c r="DQ32" s="7">
        <f t="shared" si="98"/>
        <v>3.2</v>
      </c>
      <c r="DR32" s="83">
        <f t="shared" si="99"/>
        <v>0.85106382978723405</v>
      </c>
      <c r="DS32" s="459">
        <f t="shared" si="100"/>
        <v>0.85106382978723405</v>
      </c>
      <c r="DT32" s="84">
        <f t="shared" si="101"/>
        <v>1.0990621336459554</v>
      </c>
      <c r="DU32" s="27">
        <f t="shared" si="102"/>
        <v>10.6</v>
      </c>
      <c r="DV32" s="23">
        <f t="shared" si="103"/>
        <v>10.6</v>
      </c>
      <c r="DW32" s="7">
        <f t="shared" si="104"/>
        <v>3.7</v>
      </c>
      <c r="DX32" s="83">
        <f t="shared" si="105"/>
        <v>1.1320754716981132</v>
      </c>
      <c r="DY32" s="459">
        <f t="shared" si="106"/>
        <v>1.1320754716981132</v>
      </c>
      <c r="DZ32" s="84">
        <f t="shared" si="107"/>
        <v>0.95054022369379931</v>
      </c>
      <c r="EA32" s="27">
        <f t="shared" si="108"/>
        <v>10.6</v>
      </c>
      <c r="EB32" s="23">
        <f t="shared" si="109"/>
        <v>10.6</v>
      </c>
      <c r="EC32" s="7">
        <f t="shared" si="110"/>
        <v>3.7</v>
      </c>
      <c r="ED32" s="83">
        <f t="shared" si="111"/>
        <v>1.1320754716981132</v>
      </c>
      <c r="EE32" s="459">
        <f t="shared" si="112"/>
        <v>1.1320754716981132</v>
      </c>
      <c r="EF32" s="84">
        <f t="shared" si="113"/>
        <v>0.95054022369379931</v>
      </c>
      <c r="EG32" s="27">
        <f t="shared" si="114"/>
        <v>16.3</v>
      </c>
      <c r="EH32" s="23">
        <f t="shared" si="115"/>
        <v>16.3</v>
      </c>
      <c r="EI32" s="7">
        <f t="shared" si="116"/>
        <v>3.1</v>
      </c>
      <c r="EJ32" s="83">
        <f t="shared" si="117"/>
        <v>0.73619631901840488</v>
      </c>
      <c r="EK32" s="459">
        <f t="shared" si="118"/>
        <v>0.73619631901840488</v>
      </c>
      <c r="EL32" s="84">
        <f t="shared" si="119"/>
        <v>1.1345157508603412</v>
      </c>
      <c r="EM32" s="27">
        <f t="shared" si="120"/>
        <v>16.3</v>
      </c>
      <c r="EN32" s="23">
        <f t="shared" si="121"/>
        <v>16.3</v>
      </c>
      <c r="EO32" s="7">
        <f t="shared" si="122"/>
        <v>3.1</v>
      </c>
      <c r="EP32" s="83">
        <f t="shared" si="123"/>
        <v>0.73619631901840488</v>
      </c>
      <c r="EQ32" s="459">
        <f t="shared" si="124"/>
        <v>0.73619631901840488</v>
      </c>
      <c r="ER32" s="84">
        <f t="shared" si="125"/>
        <v>1.1345157508603412</v>
      </c>
      <c r="ES32" s="27">
        <f t="shared" si="126"/>
        <v>12.1</v>
      </c>
      <c r="ET32" s="23">
        <f t="shared" si="127"/>
        <v>12.1</v>
      </c>
      <c r="EU32" s="7">
        <f t="shared" si="128"/>
        <v>2.5</v>
      </c>
      <c r="EV32" s="83">
        <f t="shared" si="129"/>
        <v>0.99173553719008267</v>
      </c>
      <c r="EW32" s="459">
        <f t="shared" si="130"/>
        <v>0.99173553719008267</v>
      </c>
      <c r="EX32" s="84">
        <f t="shared" si="131"/>
        <v>1.4067995310668231</v>
      </c>
      <c r="EY32" s="27">
        <f t="shared" si="132"/>
        <v>12.1</v>
      </c>
      <c r="EZ32" s="23">
        <f t="shared" si="133"/>
        <v>12.1</v>
      </c>
      <c r="FA32" s="7">
        <f t="shared" si="134"/>
        <v>2.5</v>
      </c>
      <c r="FB32" s="83">
        <f t="shared" si="135"/>
        <v>0.99173553719008267</v>
      </c>
      <c r="FC32" s="459">
        <f t="shared" si="136"/>
        <v>0.99173553719008267</v>
      </c>
      <c r="FD32" s="84">
        <f t="shared" si="137"/>
        <v>1.4067995310668231</v>
      </c>
      <c r="FE32" s="12"/>
    </row>
    <row r="33" spans="1:161" x14ac:dyDescent="0.25">
      <c r="A33" s="26">
        <v>2023</v>
      </c>
      <c r="B33" s="23">
        <f t="shared" ref="B33:C35" si="139">B$37</f>
        <v>12.1</v>
      </c>
      <c r="C33" s="7">
        <f t="shared" si="139"/>
        <v>12.3</v>
      </c>
      <c r="D33" s="83">
        <f t="shared" ref="D33:D35" si="140">12/B33</f>
        <v>0.99173553719008267</v>
      </c>
      <c r="E33" s="84">
        <f t="shared" ref="E33:E35" si="141">12/C33</f>
        <v>0.97560975609756095</v>
      </c>
      <c r="F33" s="23">
        <f t="shared" ref="F33:G35" si="142">F$37</f>
        <v>12.1</v>
      </c>
      <c r="G33" s="7">
        <f t="shared" si="142"/>
        <v>12.3</v>
      </c>
      <c r="H33" s="83">
        <f t="shared" ref="H33:H35" si="143">12/F33</f>
        <v>0.99173553719008267</v>
      </c>
      <c r="I33" s="84">
        <f t="shared" ref="I33:I35" si="144">12/G33</f>
        <v>0.97560975609756095</v>
      </c>
      <c r="J33" s="23">
        <f t="shared" ref="J33:K35" si="145">J$37</f>
        <v>12.1</v>
      </c>
      <c r="K33" s="7">
        <f t="shared" si="145"/>
        <v>13.9</v>
      </c>
      <c r="L33" s="83">
        <f t="shared" ref="L33:L35" si="146">12/J33</f>
        <v>0.99173553719008267</v>
      </c>
      <c r="M33" s="84">
        <f t="shared" ref="M33:M35" si="147">12/K33</f>
        <v>0.86330935251798557</v>
      </c>
      <c r="N33" s="23">
        <f t="shared" ref="N33:O35" si="148">N$37</f>
        <v>11.9</v>
      </c>
      <c r="O33" s="7">
        <f t="shared" si="148"/>
        <v>13.7</v>
      </c>
      <c r="P33" s="83">
        <f t="shared" ref="P33:P35" si="149">12/N33</f>
        <v>1.0084033613445378</v>
      </c>
      <c r="Q33" s="84">
        <f t="shared" ref="Q33:Q35" si="150">12/O33</f>
        <v>0.87591240875912413</v>
      </c>
      <c r="R33" s="23">
        <f t="shared" ref="R33:S35" si="151">R$37</f>
        <v>12.5</v>
      </c>
      <c r="S33" s="7">
        <f t="shared" si="151"/>
        <v>13.9</v>
      </c>
      <c r="T33" s="83">
        <f t="shared" ref="T33:T35" si="152">12/R33</f>
        <v>0.96</v>
      </c>
      <c r="U33" s="84">
        <f t="shared" ref="U33:U35" si="153">12/S33</f>
        <v>0.86330935251798557</v>
      </c>
      <c r="V33" s="23">
        <f t="shared" ref="V33:W35" si="154">V$37</f>
        <v>12.3</v>
      </c>
      <c r="W33" s="7">
        <f t="shared" si="154"/>
        <v>13.7</v>
      </c>
      <c r="X33" s="83">
        <f t="shared" ref="X33:X35" si="155">12/V33</f>
        <v>0.97560975609756095</v>
      </c>
      <c r="Y33" s="84">
        <f t="shared" ref="Y33:Y35" si="156">12/W33</f>
        <v>0.87591240875912413</v>
      </c>
      <c r="Z33" s="23">
        <f t="shared" ref="Z33:AA35" si="157">Z$37</f>
        <v>12.4</v>
      </c>
      <c r="AA33" s="7">
        <f t="shared" si="157"/>
        <v>13.6</v>
      </c>
      <c r="AB33" s="83">
        <f t="shared" ref="AB33:AB35" si="158">12/Z33</f>
        <v>0.96774193548387089</v>
      </c>
      <c r="AC33" s="84">
        <f t="shared" ref="AC33:AC35" si="159">12/AA33</f>
        <v>0.88235294117647056</v>
      </c>
      <c r="AD33" s="23">
        <f t="shared" ref="AD33:AE35" si="160">AD$37</f>
        <v>12.2</v>
      </c>
      <c r="AE33" s="7">
        <f t="shared" si="160"/>
        <v>13.4</v>
      </c>
      <c r="AF33" s="83">
        <f t="shared" ref="AF33:AF35" si="161">12/AD33</f>
        <v>0.98360655737704927</v>
      </c>
      <c r="AG33" s="84">
        <f t="shared" ref="AG33:AG35" si="162">12/AE33</f>
        <v>0.89552238805970152</v>
      </c>
      <c r="AH33" s="23">
        <f t="shared" ref="AH33:AI35" si="163">AH$37</f>
        <v>12.2</v>
      </c>
      <c r="AI33" s="7">
        <f t="shared" si="163"/>
        <v>13.5</v>
      </c>
      <c r="AJ33" s="83">
        <f t="shared" ref="AJ33:AJ35" si="164">12/AH33</f>
        <v>0.98360655737704927</v>
      </c>
      <c r="AK33" s="84">
        <f t="shared" ref="AK33:AK35" si="165">12/AI33</f>
        <v>0.88888888888888884</v>
      </c>
      <c r="AL33" s="23">
        <f t="shared" ref="AL33:AM35" si="166">AL$37</f>
        <v>12</v>
      </c>
      <c r="AM33" s="7">
        <f t="shared" si="166"/>
        <v>13.3</v>
      </c>
      <c r="AN33" s="83">
        <f t="shared" ref="AN33:AN35" si="167">12/AL33</f>
        <v>1</v>
      </c>
      <c r="AO33" s="451">
        <f t="shared" ref="AO33:AO35" si="168">12/AM33</f>
        <v>0.90225563909774431</v>
      </c>
      <c r="AP33" s="457">
        <f t="shared" ref="AP33:AQ35" si="169">AP$37</f>
        <v>12.1</v>
      </c>
      <c r="AQ33" s="7">
        <f t="shared" si="169"/>
        <v>12.3</v>
      </c>
      <c r="AR33" s="83">
        <f t="shared" ref="AR33:AR35" si="170">12/AP33</f>
        <v>0.99173553719008267</v>
      </c>
      <c r="AS33" s="84">
        <f t="shared" ref="AS33:AS35" si="171">12/AQ33</f>
        <v>0.97560975609756095</v>
      </c>
      <c r="AT33" s="23">
        <f t="shared" ref="AT33:AU35" si="172">AT$37</f>
        <v>12.1</v>
      </c>
      <c r="AU33" s="7">
        <f t="shared" si="172"/>
        <v>12.3</v>
      </c>
      <c r="AV33" s="83">
        <f t="shared" ref="AV33:AV35" si="173">12/AT33</f>
        <v>0.99173553719008267</v>
      </c>
      <c r="AW33" s="84">
        <f t="shared" ref="AW33:AW35" si="174">12/AU33</f>
        <v>0.97560975609756095</v>
      </c>
      <c r="AX33" s="23">
        <f t="shared" ref="AX33:AY35" si="175">AX$37</f>
        <v>12.1</v>
      </c>
      <c r="AY33" s="7">
        <f t="shared" si="175"/>
        <v>12.3</v>
      </c>
      <c r="AZ33" s="83">
        <f t="shared" ref="AZ33:AZ35" si="176">12/AX33</f>
        <v>0.99173553719008267</v>
      </c>
      <c r="BA33" s="84">
        <f t="shared" ref="BA33:BA35" si="177">12/AY33</f>
        <v>0.97560975609756095</v>
      </c>
      <c r="BB33" s="23">
        <f t="shared" ref="BB33:BC35" si="178">BB$37</f>
        <v>11.9</v>
      </c>
      <c r="BC33" s="7">
        <f t="shared" si="178"/>
        <v>12.1</v>
      </c>
      <c r="BD33" s="83">
        <f t="shared" ref="BD33:BD35" si="179">12/BB33</f>
        <v>1.0084033613445378</v>
      </c>
      <c r="BE33" s="84">
        <f t="shared" ref="BE33:BE35" si="180">12/BC33</f>
        <v>0.99173553719008267</v>
      </c>
      <c r="BF33" s="23">
        <f t="shared" ref="BF33:BG35" si="181">BF$37</f>
        <v>12</v>
      </c>
      <c r="BG33" s="7">
        <f t="shared" si="181"/>
        <v>12.2</v>
      </c>
      <c r="BH33" s="83">
        <f t="shared" ref="BH33:BH35" si="182">12/BF33</f>
        <v>1</v>
      </c>
      <c r="BI33" s="84">
        <f t="shared" ref="BI33:BI35" si="183">12/BG33</f>
        <v>0.98360655737704927</v>
      </c>
      <c r="BJ33" s="23">
        <f t="shared" ref="BJ33:BK35" si="184">BJ$37</f>
        <v>11.8</v>
      </c>
      <c r="BK33" s="7">
        <f t="shared" si="184"/>
        <v>12</v>
      </c>
      <c r="BL33" s="83">
        <f t="shared" ref="BL33:BL35" si="185">12/BJ33</f>
        <v>1.0169491525423728</v>
      </c>
      <c r="BM33" s="84">
        <f t="shared" ref="BM33:BM35" si="186">12/BK33</f>
        <v>1</v>
      </c>
      <c r="BN33" s="23">
        <f t="shared" ref="BN33:BO35" si="187">BN$37</f>
        <v>11.9</v>
      </c>
      <c r="BO33" s="7">
        <f t="shared" si="187"/>
        <v>12.1</v>
      </c>
      <c r="BP33" s="83">
        <f t="shared" ref="BP33:BP35" si="188">12/BN33</f>
        <v>1.0084033613445378</v>
      </c>
      <c r="BQ33" s="84">
        <f t="shared" ref="BQ33:BQ35" si="189">12/BO33</f>
        <v>0.99173553719008267</v>
      </c>
      <c r="BR33" s="23">
        <f t="shared" ref="BR33:BS35" si="190">BR$37</f>
        <v>11.7</v>
      </c>
      <c r="BS33" s="7">
        <f t="shared" si="190"/>
        <v>11.9</v>
      </c>
      <c r="BT33" s="83">
        <f t="shared" ref="BT33:BT35" si="191">12/BR33</f>
        <v>1.0256410256410258</v>
      </c>
      <c r="BU33" s="84">
        <f t="shared" ref="BU33:BU35" si="192">12/BS33</f>
        <v>1.0084033613445378</v>
      </c>
      <c r="BV33" s="23">
        <f t="shared" ref="BV33:BW35" si="193">BV$37</f>
        <v>11.7</v>
      </c>
      <c r="BW33" s="7">
        <f t="shared" si="193"/>
        <v>11.9</v>
      </c>
      <c r="BX33" s="83">
        <f t="shared" ref="BX33:BX35" si="194">12/BV33</f>
        <v>1.0256410256410258</v>
      </c>
      <c r="BY33" s="84">
        <f t="shared" ref="BY33:BY35" si="195">12/BW33</f>
        <v>1.0084033613445378</v>
      </c>
      <c r="BZ33" s="23">
        <f t="shared" ref="BZ33:CA35" si="196">BZ$37</f>
        <v>11.5</v>
      </c>
      <c r="CA33" s="7">
        <f t="shared" si="196"/>
        <v>11.7</v>
      </c>
      <c r="CB33" s="83">
        <f t="shared" ref="CB33:CB35" si="197">12/BZ33</f>
        <v>1.0434782608695652</v>
      </c>
      <c r="CC33" s="84">
        <f t="shared" ref="CC33:CC35" si="198">12/CA33</f>
        <v>1.0256410256410258</v>
      </c>
      <c r="CD33" s="465"/>
      <c r="CE33" s="457">
        <f t="shared" ref="CE33:CE35" si="199">CE$37</f>
        <v>12.2</v>
      </c>
      <c r="CF33" s="23">
        <f t="shared" ref="CF33:CF35" si="200">CE33</f>
        <v>12.2</v>
      </c>
      <c r="CG33" s="7">
        <f t="shared" ref="CG33:CG35" si="201">CG$37</f>
        <v>4.3</v>
      </c>
      <c r="CH33" s="83">
        <f t="shared" ref="CH33:CH35" si="202">12/CE33</f>
        <v>0.98360655737704927</v>
      </c>
      <c r="CI33" s="459">
        <f t="shared" ref="CI33:CI35" si="203">12/CF33</f>
        <v>0.98360655737704927</v>
      </c>
      <c r="CJ33" s="84">
        <f t="shared" si="138"/>
        <v>0.8179067041086181</v>
      </c>
      <c r="CK33" s="27">
        <f t="shared" ref="CK33:CK35" si="204">CK$37</f>
        <v>13</v>
      </c>
      <c r="CL33" s="23">
        <f t="shared" ref="CL33:CL35" si="205">CK33</f>
        <v>13</v>
      </c>
      <c r="CM33" s="7">
        <f t="shared" ref="CM33:CM35" si="206">CM$37</f>
        <v>4.3</v>
      </c>
      <c r="CN33" s="83">
        <f t="shared" ref="CN33:CN35" si="207">12/CK33</f>
        <v>0.92307692307692313</v>
      </c>
      <c r="CO33" s="459">
        <f t="shared" ref="CO33:CO35" si="208">12/CL33</f>
        <v>0.92307692307692313</v>
      </c>
      <c r="CP33" s="84">
        <f t="shared" ref="CP33:CP35" si="209">12/3.412/CM33</f>
        <v>0.8179067041086181</v>
      </c>
      <c r="CQ33" s="27">
        <f t="shared" ref="CQ33:CQ35" si="210">CQ$37</f>
        <v>13</v>
      </c>
      <c r="CR33" s="23">
        <f t="shared" ref="CR33:CR35" si="211">CQ33</f>
        <v>13</v>
      </c>
      <c r="CS33" s="7">
        <f t="shared" ref="CS33:CS35" si="212">CS$37</f>
        <v>4.3</v>
      </c>
      <c r="CT33" s="83">
        <f t="shared" ref="CT33:CT35" si="213">12/CQ33</f>
        <v>0.92307692307692313</v>
      </c>
      <c r="CU33" s="459">
        <f t="shared" ref="CU33:CU35" si="214">12/CR33</f>
        <v>0.92307692307692313</v>
      </c>
      <c r="CV33" s="84">
        <f t="shared" ref="CV33:CV35" si="215">12/3.412/CS33</f>
        <v>0.8179067041086181</v>
      </c>
      <c r="CW33" s="27">
        <f t="shared" ref="CW33:CW35" si="216">CW$37</f>
        <v>18</v>
      </c>
      <c r="CX33" s="23">
        <f t="shared" ref="CX33:CX35" si="217">CW33</f>
        <v>18</v>
      </c>
      <c r="CY33" s="7">
        <f t="shared" ref="CY33:CY35" si="218">CY$37</f>
        <v>3.7</v>
      </c>
      <c r="CZ33" s="83">
        <f t="shared" ref="CZ33:CZ35" si="219">12/CW33</f>
        <v>0.66666666666666663</v>
      </c>
      <c r="DA33" s="459">
        <f t="shared" ref="DA33:DA35" si="220">12/CX33</f>
        <v>0.66666666666666663</v>
      </c>
      <c r="DB33" s="84">
        <f t="shared" ref="DB33:DB35" si="221">12/3.412/CY33</f>
        <v>0.95054022369379931</v>
      </c>
      <c r="DC33" s="27">
        <f t="shared" ref="DC33:DC35" si="222">DC$37</f>
        <v>18</v>
      </c>
      <c r="DD33" s="23">
        <f t="shared" ref="DD33:DD35" si="223">DC33</f>
        <v>18</v>
      </c>
      <c r="DE33" s="7">
        <f t="shared" ref="DE33:DE35" si="224">DE$37</f>
        <v>3.7</v>
      </c>
      <c r="DF33" s="83">
        <f t="shared" ref="DF33:DF35" si="225">12/DC33</f>
        <v>0.66666666666666663</v>
      </c>
      <c r="DG33" s="459">
        <f t="shared" ref="DG33:DG35" si="226">12/DD33</f>
        <v>0.66666666666666663</v>
      </c>
      <c r="DH33" s="84">
        <f t="shared" ref="DH33:DH35" si="227">12/3.412/DE33</f>
        <v>0.95054022369379931</v>
      </c>
      <c r="DI33" s="27">
        <f t="shared" ref="DI33:DI35" si="228">DI$37</f>
        <v>14.1</v>
      </c>
      <c r="DJ33" s="23">
        <f t="shared" ref="DJ33:DJ35" si="229">DI33</f>
        <v>14.1</v>
      </c>
      <c r="DK33" s="7">
        <f t="shared" ref="DK33:DK35" si="230">DK$37</f>
        <v>3.2</v>
      </c>
      <c r="DL33" s="83">
        <f t="shared" ref="DL33:DL35" si="231">12/DI33</f>
        <v>0.85106382978723405</v>
      </c>
      <c r="DM33" s="459">
        <f t="shared" ref="DM33:DM35" si="232">12/DJ33</f>
        <v>0.85106382978723405</v>
      </c>
      <c r="DN33" s="84">
        <f t="shared" ref="DN33:DN35" si="233">12/3.412/DK33</f>
        <v>1.0990621336459554</v>
      </c>
      <c r="DO33" s="27">
        <f t="shared" ref="DO33:DO35" si="234">DO$37</f>
        <v>14.1</v>
      </c>
      <c r="DP33" s="23">
        <f t="shared" ref="DP33:DP35" si="235">DO33</f>
        <v>14.1</v>
      </c>
      <c r="DQ33" s="7">
        <f t="shared" ref="DQ33:DQ35" si="236">DQ$37</f>
        <v>3.2</v>
      </c>
      <c r="DR33" s="83">
        <f t="shared" ref="DR33:DR35" si="237">12/DO33</f>
        <v>0.85106382978723405</v>
      </c>
      <c r="DS33" s="459">
        <f t="shared" ref="DS33:DS35" si="238">12/DP33</f>
        <v>0.85106382978723405</v>
      </c>
      <c r="DT33" s="84">
        <f t="shared" ref="DT33:DT35" si="239">12/3.412/DQ33</f>
        <v>1.0990621336459554</v>
      </c>
      <c r="DU33" s="27">
        <f t="shared" ref="DU33:DU35" si="240">DU$37</f>
        <v>10.6</v>
      </c>
      <c r="DV33" s="23">
        <f t="shared" ref="DV33:DV35" si="241">DU33</f>
        <v>10.6</v>
      </c>
      <c r="DW33" s="7">
        <f t="shared" ref="DW33:DW35" si="242">DW$37</f>
        <v>3.7</v>
      </c>
      <c r="DX33" s="83">
        <f t="shared" ref="DX33:DX35" si="243">12/DU33</f>
        <v>1.1320754716981132</v>
      </c>
      <c r="DY33" s="459">
        <f t="shared" ref="DY33:DY35" si="244">12/DV33</f>
        <v>1.1320754716981132</v>
      </c>
      <c r="DZ33" s="84">
        <f t="shared" ref="DZ33:DZ35" si="245">12/3.412/DW33</f>
        <v>0.95054022369379931</v>
      </c>
      <c r="EA33" s="27">
        <f t="shared" ref="EA33:EA35" si="246">EA$37</f>
        <v>10.6</v>
      </c>
      <c r="EB33" s="23">
        <f t="shared" ref="EB33:EB35" si="247">EA33</f>
        <v>10.6</v>
      </c>
      <c r="EC33" s="7">
        <f t="shared" ref="EC33:EC35" si="248">EC$37</f>
        <v>3.7</v>
      </c>
      <c r="ED33" s="83">
        <f t="shared" ref="ED33:ED35" si="249">12/EA33</f>
        <v>1.1320754716981132</v>
      </c>
      <c r="EE33" s="459">
        <f t="shared" ref="EE33:EE35" si="250">12/EB33</f>
        <v>1.1320754716981132</v>
      </c>
      <c r="EF33" s="84">
        <f t="shared" ref="EF33:EF35" si="251">12/3.412/EC33</f>
        <v>0.95054022369379931</v>
      </c>
      <c r="EG33" s="27">
        <f t="shared" ref="EG33:EG35" si="252">EG$37</f>
        <v>16.3</v>
      </c>
      <c r="EH33" s="23">
        <f t="shared" ref="EH33:EH35" si="253">EG33</f>
        <v>16.3</v>
      </c>
      <c r="EI33" s="7">
        <f t="shared" ref="EI33:EI35" si="254">EI$37</f>
        <v>3.1</v>
      </c>
      <c r="EJ33" s="83">
        <f t="shared" ref="EJ33:EJ35" si="255">12/EG33</f>
        <v>0.73619631901840488</v>
      </c>
      <c r="EK33" s="459">
        <f t="shared" ref="EK33:EK35" si="256">12/EH33</f>
        <v>0.73619631901840488</v>
      </c>
      <c r="EL33" s="84">
        <f t="shared" ref="EL33:EL35" si="257">12/3.412/EI33</f>
        <v>1.1345157508603412</v>
      </c>
      <c r="EM33" s="27">
        <f t="shared" ref="EM33:EM35" si="258">EM$37</f>
        <v>16.3</v>
      </c>
      <c r="EN33" s="23">
        <f t="shared" ref="EN33:EN35" si="259">EM33</f>
        <v>16.3</v>
      </c>
      <c r="EO33" s="7">
        <f t="shared" ref="EO33:EO35" si="260">EO$37</f>
        <v>3.1</v>
      </c>
      <c r="EP33" s="83">
        <f t="shared" ref="EP33:EP35" si="261">12/EM33</f>
        <v>0.73619631901840488</v>
      </c>
      <c r="EQ33" s="459">
        <f t="shared" ref="EQ33:EQ35" si="262">12/EN33</f>
        <v>0.73619631901840488</v>
      </c>
      <c r="ER33" s="84">
        <f t="shared" ref="ER33:ER35" si="263">12/3.412/EO33</f>
        <v>1.1345157508603412</v>
      </c>
      <c r="ES33" s="27">
        <f t="shared" ref="ES33:ES35" si="264">ES$37</f>
        <v>12.1</v>
      </c>
      <c r="ET33" s="23">
        <f t="shared" ref="ET33:ET35" si="265">ES33</f>
        <v>12.1</v>
      </c>
      <c r="EU33" s="7">
        <f t="shared" ref="EU33:EU35" si="266">EU$37</f>
        <v>2.5</v>
      </c>
      <c r="EV33" s="83">
        <f t="shared" ref="EV33:EV35" si="267">12/ES33</f>
        <v>0.99173553719008267</v>
      </c>
      <c r="EW33" s="459">
        <f t="shared" ref="EW33:EW35" si="268">12/ET33</f>
        <v>0.99173553719008267</v>
      </c>
      <c r="EX33" s="84">
        <f t="shared" ref="EX33:EX35" si="269">12/3.412/EU33</f>
        <v>1.4067995310668231</v>
      </c>
      <c r="EY33" s="27">
        <f t="shared" ref="EY33:EY35" si="270">EY$37</f>
        <v>12.1</v>
      </c>
      <c r="EZ33" s="23">
        <f t="shared" ref="EZ33:EZ35" si="271">EY33</f>
        <v>12.1</v>
      </c>
      <c r="FA33" s="7">
        <f t="shared" ref="FA33:FA35" si="272">FA$37</f>
        <v>2.5</v>
      </c>
      <c r="FB33" s="83">
        <f t="shared" ref="FB33:FB35" si="273">12/EY33</f>
        <v>0.99173553719008267</v>
      </c>
      <c r="FC33" s="459">
        <f t="shared" ref="FC33:FC35" si="274">12/EZ33</f>
        <v>0.99173553719008267</v>
      </c>
      <c r="FD33" s="84">
        <f t="shared" ref="FD33:FD35" si="275">12/3.412/FA33</f>
        <v>1.4067995310668231</v>
      </c>
      <c r="FE33" s="465"/>
    </row>
    <row r="34" spans="1:161" x14ac:dyDescent="0.25">
      <c r="A34" s="26">
        <v>2024</v>
      </c>
      <c r="B34" s="23">
        <f t="shared" si="139"/>
        <v>12.1</v>
      </c>
      <c r="C34" s="7">
        <f t="shared" si="139"/>
        <v>12.3</v>
      </c>
      <c r="D34" s="83">
        <f t="shared" si="140"/>
        <v>0.99173553719008267</v>
      </c>
      <c r="E34" s="84">
        <f t="shared" si="141"/>
        <v>0.97560975609756095</v>
      </c>
      <c r="F34" s="23">
        <f t="shared" si="142"/>
        <v>12.1</v>
      </c>
      <c r="G34" s="7">
        <f t="shared" si="142"/>
        <v>12.3</v>
      </c>
      <c r="H34" s="83">
        <f t="shared" si="143"/>
        <v>0.99173553719008267</v>
      </c>
      <c r="I34" s="84">
        <f t="shared" si="144"/>
        <v>0.97560975609756095</v>
      </c>
      <c r="J34" s="23">
        <f t="shared" si="145"/>
        <v>12.1</v>
      </c>
      <c r="K34" s="7">
        <f t="shared" si="145"/>
        <v>13.9</v>
      </c>
      <c r="L34" s="83">
        <f t="shared" si="146"/>
        <v>0.99173553719008267</v>
      </c>
      <c r="M34" s="84">
        <f t="shared" si="147"/>
        <v>0.86330935251798557</v>
      </c>
      <c r="N34" s="23">
        <f t="shared" si="148"/>
        <v>11.9</v>
      </c>
      <c r="O34" s="7">
        <f t="shared" si="148"/>
        <v>13.7</v>
      </c>
      <c r="P34" s="83">
        <f t="shared" si="149"/>
        <v>1.0084033613445378</v>
      </c>
      <c r="Q34" s="84">
        <f t="shared" si="150"/>
        <v>0.87591240875912413</v>
      </c>
      <c r="R34" s="23">
        <f t="shared" si="151"/>
        <v>12.5</v>
      </c>
      <c r="S34" s="7">
        <f t="shared" si="151"/>
        <v>13.9</v>
      </c>
      <c r="T34" s="83">
        <f t="shared" si="152"/>
        <v>0.96</v>
      </c>
      <c r="U34" s="84">
        <f t="shared" si="153"/>
        <v>0.86330935251798557</v>
      </c>
      <c r="V34" s="23">
        <f t="shared" si="154"/>
        <v>12.3</v>
      </c>
      <c r="W34" s="7">
        <f t="shared" si="154"/>
        <v>13.7</v>
      </c>
      <c r="X34" s="83">
        <f t="shared" si="155"/>
        <v>0.97560975609756095</v>
      </c>
      <c r="Y34" s="84">
        <f t="shared" si="156"/>
        <v>0.87591240875912413</v>
      </c>
      <c r="Z34" s="23">
        <f t="shared" si="157"/>
        <v>12.4</v>
      </c>
      <c r="AA34" s="7">
        <f t="shared" si="157"/>
        <v>13.6</v>
      </c>
      <c r="AB34" s="83">
        <f t="shared" si="158"/>
        <v>0.96774193548387089</v>
      </c>
      <c r="AC34" s="84">
        <f t="shared" si="159"/>
        <v>0.88235294117647056</v>
      </c>
      <c r="AD34" s="23">
        <f t="shared" si="160"/>
        <v>12.2</v>
      </c>
      <c r="AE34" s="7">
        <f t="shared" si="160"/>
        <v>13.4</v>
      </c>
      <c r="AF34" s="83">
        <f t="shared" si="161"/>
        <v>0.98360655737704927</v>
      </c>
      <c r="AG34" s="84">
        <f t="shared" si="162"/>
        <v>0.89552238805970152</v>
      </c>
      <c r="AH34" s="23">
        <f t="shared" si="163"/>
        <v>12.2</v>
      </c>
      <c r="AI34" s="7">
        <f t="shared" si="163"/>
        <v>13.5</v>
      </c>
      <c r="AJ34" s="83">
        <f t="shared" si="164"/>
        <v>0.98360655737704927</v>
      </c>
      <c r="AK34" s="84">
        <f t="shared" si="165"/>
        <v>0.88888888888888884</v>
      </c>
      <c r="AL34" s="23">
        <f t="shared" si="166"/>
        <v>12</v>
      </c>
      <c r="AM34" s="7">
        <f t="shared" si="166"/>
        <v>13.3</v>
      </c>
      <c r="AN34" s="83">
        <f t="shared" si="167"/>
        <v>1</v>
      </c>
      <c r="AO34" s="451">
        <f t="shared" si="168"/>
        <v>0.90225563909774431</v>
      </c>
      <c r="AP34" s="457">
        <f t="shared" si="169"/>
        <v>12.1</v>
      </c>
      <c r="AQ34" s="7">
        <f t="shared" si="169"/>
        <v>12.3</v>
      </c>
      <c r="AR34" s="83">
        <f t="shared" si="170"/>
        <v>0.99173553719008267</v>
      </c>
      <c r="AS34" s="84">
        <f t="shared" si="171"/>
        <v>0.97560975609756095</v>
      </c>
      <c r="AT34" s="23">
        <f t="shared" si="172"/>
        <v>12.1</v>
      </c>
      <c r="AU34" s="7">
        <f t="shared" si="172"/>
        <v>12.3</v>
      </c>
      <c r="AV34" s="83">
        <f t="shared" si="173"/>
        <v>0.99173553719008267</v>
      </c>
      <c r="AW34" s="84">
        <f t="shared" si="174"/>
        <v>0.97560975609756095</v>
      </c>
      <c r="AX34" s="23">
        <f t="shared" si="175"/>
        <v>12.1</v>
      </c>
      <c r="AY34" s="7">
        <f t="shared" si="175"/>
        <v>12.3</v>
      </c>
      <c r="AZ34" s="83">
        <f t="shared" si="176"/>
        <v>0.99173553719008267</v>
      </c>
      <c r="BA34" s="84">
        <f t="shared" si="177"/>
        <v>0.97560975609756095</v>
      </c>
      <c r="BB34" s="23">
        <f t="shared" si="178"/>
        <v>11.9</v>
      </c>
      <c r="BC34" s="7">
        <f t="shared" si="178"/>
        <v>12.1</v>
      </c>
      <c r="BD34" s="83">
        <f t="shared" si="179"/>
        <v>1.0084033613445378</v>
      </c>
      <c r="BE34" s="84">
        <f t="shared" si="180"/>
        <v>0.99173553719008267</v>
      </c>
      <c r="BF34" s="23">
        <f t="shared" si="181"/>
        <v>12</v>
      </c>
      <c r="BG34" s="7">
        <f t="shared" si="181"/>
        <v>12.2</v>
      </c>
      <c r="BH34" s="83">
        <f t="shared" si="182"/>
        <v>1</v>
      </c>
      <c r="BI34" s="84">
        <f t="shared" si="183"/>
        <v>0.98360655737704927</v>
      </c>
      <c r="BJ34" s="23">
        <f t="shared" si="184"/>
        <v>11.8</v>
      </c>
      <c r="BK34" s="7">
        <f t="shared" si="184"/>
        <v>12</v>
      </c>
      <c r="BL34" s="83">
        <f t="shared" si="185"/>
        <v>1.0169491525423728</v>
      </c>
      <c r="BM34" s="84">
        <f t="shared" si="186"/>
        <v>1</v>
      </c>
      <c r="BN34" s="23">
        <f t="shared" si="187"/>
        <v>11.9</v>
      </c>
      <c r="BO34" s="7">
        <f t="shared" si="187"/>
        <v>12.1</v>
      </c>
      <c r="BP34" s="83">
        <f t="shared" si="188"/>
        <v>1.0084033613445378</v>
      </c>
      <c r="BQ34" s="84">
        <f t="shared" si="189"/>
        <v>0.99173553719008267</v>
      </c>
      <c r="BR34" s="23">
        <f t="shared" si="190"/>
        <v>11.7</v>
      </c>
      <c r="BS34" s="7">
        <f t="shared" si="190"/>
        <v>11.9</v>
      </c>
      <c r="BT34" s="83">
        <f t="shared" si="191"/>
        <v>1.0256410256410258</v>
      </c>
      <c r="BU34" s="84">
        <f t="shared" si="192"/>
        <v>1.0084033613445378</v>
      </c>
      <c r="BV34" s="23">
        <f t="shared" si="193"/>
        <v>11.7</v>
      </c>
      <c r="BW34" s="7">
        <f t="shared" si="193"/>
        <v>11.9</v>
      </c>
      <c r="BX34" s="83">
        <f t="shared" si="194"/>
        <v>1.0256410256410258</v>
      </c>
      <c r="BY34" s="84">
        <f t="shared" si="195"/>
        <v>1.0084033613445378</v>
      </c>
      <c r="BZ34" s="23">
        <f t="shared" si="196"/>
        <v>11.5</v>
      </c>
      <c r="CA34" s="7">
        <f t="shared" si="196"/>
        <v>11.7</v>
      </c>
      <c r="CB34" s="83">
        <f t="shared" si="197"/>
        <v>1.0434782608695652</v>
      </c>
      <c r="CC34" s="84">
        <f t="shared" si="198"/>
        <v>1.0256410256410258</v>
      </c>
      <c r="CD34" s="465"/>
      <c r="CE34" s="457">
        <f t="shared" si="199"/>
        <v>12.2</v>
      </c>
      <c r="CF34" s="23">
        <f t="shared" si="200"/>
        <v>12.2</v>
      </c>
      <c r="CG34" s="7">
        <f t="shared" si="201"/>
        <v>4.3</v>
      </c>
      <c r="CH34" s="83">
        <f t="shared" si="202"/>
        <v>0.98360655737704927</v>
      </c>
      <c r="CI34" s="459">
        <f t="shared" si="203"/>
        <v>0.98360655737704927</v>
      </c>
      <c r="CJ34" s="84">
        <f t="shared" ref="CJ34:CJ35" si="276">12/3.412/CG34</f>
        <v>0.8179067041086181</v>
      </c>
      <c r="CK34" s="27">
        <f t="shared" si="204"/>
        <v>13</v>
      </c>
      <c r="CL34" s="23">
        <f t="shared" si="205"/>
        <v>13</v>
      </c>
      <c r="CM34" s="7">
        <f t="shared" si="206"/>
        <v>4.3</v>
      </c>
      <c r="CN34" s="83">
        <f t="shared" si="207"/>
        <v>0.92307692307692313</v>
      </c>
      <c r="CO34" s="459">
        <f t="shared" si="208"/>
        <v>0.92307692307692313</v>
      </c>
      <c r="CP34" s="84">
        <f t="shared" si="209"/>
        <v>0.8179067041086181</v>
      </c>
      <c r="CQ34" s="27">
        <f t="shared" si="210"/>
        <v>13</v>
      </c>
      <c r="CR34" s="23">
        <f t="shared" si="211"/>
        <v>13</v>
      </c>
      <c r="CS34" s="7">
        <f t="shared" si="212"/>
        <v>4.3</v>
      </c>
      <c r="CT34" s="83">
        <f t="shared" si="213"/>
        <v>0.92307692307692313</v>
      </c>
      <c r="CU34" s="459">
        <f t="shared" si="214"/>
        <v>0.92307692307692313</v>
      </c>
      <c r="CV34" s="84">
        <f t="shared" si="215"/>
        <v>0.8179067041086181</v>
      </c>
      <c r="CW34" s="27">
        <f t="shared" si="216"/>
        <v>18</v>
      </c>
      <c r="CX34" s="23">
        <f t="shared" si="217"/>
        <v>18</v>
      </c>
      <c r="CY34" s="7">
        <f t="shared" si="218"/>
        <v>3.7</v>
      </c>
      <c r="CZ34" s="83">
        <f t="shared" si="219"/>
        <v>0.66666666666666663</v>
      </c>
      <c r="DA34" s="459">
        <f t="shared" si="220"/>
        <v>0.66666666666666663</v>
      </c>
      <c r="DB34" s="84">
        <f t="shared" si="221"/>
        <v>0.95054022369379931</v>
      </c>
      <c r="DC34" s="27">
        <f t="shared" si="222"/>
        <v>18</v>
      </c>
      <c r="DD34" s="23">
        <f t="shared" si="223"/>
        <v>18</v>
      </c>
      <c r="DE34" s="7">
        <f t="shared" si="224"/>
        <v>3.7</v>
      </c>
      <c r="DF34" s="83">
        <f t="shared" si="225"/>
        <v>0.66666666666666663</v>
      </c>
      <c r="DG34" s="459">
        <f t="shared" si="226"/>
        <v>0.66666666666666663</v>
      </c>
      <c r="DH34" s="84">
        <f t="shared" si="227"/>
        <v>0.95054022369379931</v>
      </c>
      <c r="DI34" s="27">
        <f t="shared" si="228"/>
        <v>14.1</v>
      </c>
      <c r="DJ34" s="23">
        <f t="shared" si="229"/>
        <v>14.1</v>
      </c>
      <c r="DK34" s="7">
        <f t="shared" si="230"/>
        <v>3.2</v>
      </c>
      <c r="DL34" s="83">
        <f t="shared" si="231"/>
        <v>0.85106382978723405</v>
      </c>
      <c r="DM34" s="459">
        <f t="shared" si="232"/>
        <v>0.85106382978723405</v>
      </c>
      <c r="DN34" s="84">
        <f t="shared" si="233"/>
        <v>1.0990621336459554</v>
      </c>
      <c r="DO34" s="27">
        <f t="shared" si="234"/>
        <v>14.1</v>
      </c>
      <c r="DP34" s="23">
        <f t="shared" si="235"/>
        <v>14.1</v>
      </c>
      <c r="DQ34" s="7">
        <f t="shared" si="236"/>
        <v>3.2</v>
      </c>
      <c r="DR34" s="83">
        <f t="shared" si="237"/>
        <v>0.85106382978723405</v>
      </c>
      <c r="DS34" s="459">
        <f t="shared" si="238"/>
        <v>0.85106382978723405</v>
      </c>
      <c r="DT34" s="84">
        <f t="shared" si="239"/>
        <v>1.0990621336459554</v>
      </c>
      <c r="DU34" s="27">
        <f t="shared" si="240"/>
        <v>10.6</v>
      </c>
      <c r="DV34" s="23">
        <f t="shared" si="241"/>
        <v>10.6</v>
      </c>
      <c r="DW34" s="7">
        <f t="shared" si="242"/>
        <v>3.7</v>
      </c>
      <c r="DX34" s="83">
        <f t="shared" si="243"/>
        <v>1.1320754716981132</v>
      </c>
      <c r="DY34" s="459">
        <f t="shared" si="244"/>
        <v>1.1320754716981132</v>
      </c>
      <c r="DZ34" s="84">
        <f t="shared" si="245"/>
        <v>0.95054022369379931</v>
      </c>
      <c r="EA34" s="27">
        <f t="shared" si="246"/>
        <v>10.6</v>
      </c>
      <c r="EB34" s="23">
        <f t="shared" si="247"/>
        <v>10.6</v>
      </c>
      <c r="EC34" s="7">
        <f t="shared" si="248"/>
        <v>3.7</v>
      </c>
      <c r="ED34" s="83">
        <f t="shared" si="249"/>
        <v>1.1320754716981132</v>
      </c>
      <c r="EE34" s="459">
        <f t="shared" si="250"/>
        <v>1.1320754716981132</v>
      </c>
      <c r="EF34" s="84">
        <f t="shared" si="251"/>
        <v>0.95054022369379931</v>
      </c>
      <c r="EG34" s="27">
        <f t="shared" si="252"/>
        <v>16.3</v>
      </c>
      <c r="EH34" s="23">
        <f t="shared" si="253"/>
        <v>16.3</v>
      </c>
      <c r="EI34" s="7">
        <f t="shared" si="254"/>
        <v>3.1</v>
      </c>
      <c r="EJ34" s="83">
        <f t="shared" si="255"/>
        <v>0.73619631901840488</v>
      </c>
      <c r="EK34" s="459">
        <f t="shared" si="256"/>
        <v>0.73619631901840488</v>
      </c>
      <c r="EL34" s="84">
        <f t="shared" si="257"/>
        <v>1.1345157508603412</v>
      </c>
      <c r="EM34" s="27">
        <f t="shared" si="258"/>
        <v>16.3</v>
      </c>
      <c r="EN34" s="23">
        <f t="shared" si="259"/>
        <v>16.3</v>
      </c>
      <c r="EO34" s="7">
        <f t="shared" si="260"/>
        <v>3.1</v>
      </c>
      <c r="EP34" s="83">
        <f t="shared" si="261"/>
        <v>0.73619631901840488</v>
      </c>
      <c r="EQ34" s="459">
        <f t="shared" si="262"/>
        <v>0.73619631901840488</v>
      </c>
      <c r="ER34" s="84">
        <f t="shared" si="263"/>
        <v>1.1345157508603412</v>
      </c>
      <c r="ES34" s="27">
        <f t="shared" si="264"/>
        <v>12.1</v>
      </c>
      <c r="ET34" s="23">
        <f t="shared" si="265"/>
        <v>12.1</v>
      </c>
      <c r="EU34" s="7">
        <f t="shared" si="266"/>
        <v>2.5</v>
      </c>
      <c r="EV34" s="83">
        <f t="shared" si="267"/>
        <v>0.99173553719008267</v>
      </c>
      <c r="EW34" s="459">
        <f t="shared" si="268"/>
        <v>0.99173553719008267</v>
      </c>
      <c r="EX34" s="84">
        <f t="shared" si="269"/>
        <v>1.4067995310668231</v>
      </c>
      <c r="EY34" s="27">
        <f t="shared" si="270"/>
        <v>12.1</v>
      </c>
      <c r="EZ34" s="23">
        <f t="shared" si="271"/>
        <v>12.1</v>
      </c>
      <c r="FA34" s="7">
        <f t="shared" si="272"/>
        <v>2.5</v>
      </c>
      <c r="FB34" s="83">
        <f t="shared" si="273"/>
        <v>0.99173553719008267</v>
      </c>
      <c r="FC34" s="459">
        <f t="shared" si="274"/>
        <v>0.99173553719008267</v>
      </c>
      <c r="FD34" s="84">
        <f t="shared" si="275"/>
        <v>1.4067995310668231</v>
      </c>
      <c r="FE34" s="465"/>
    </row>
    <row r="35" spans="1:161" x14ac:dyDescent="0.25">
      <c r="A35" s="26">
        <v>2025</v>
      </c>
      <c r="B35" s="23">
        <f t="shared" si="139"/>
        <v>12.1</v>
      </c>
      <c r="C35" s="7">
        <f t="shared" si="139"/>
        <v>12.3</v>
      </c>
      <c r="D35" s="83">
        <f t="shared" si="140"/>
        <v>0.99173553719008267</v>
      </c>
      <c r="E35" s="84">
        <f t="shared" si="141"/>
        <v>0.97560975609756095</v>
      </c>
      <c r="F35" s="23">
        <f t="shared" si="142"/>
        <v>12.1</v>
      </c>
      <c r="G35" s="7">
        <f t="shared" si="142"/>
        <v>12.3</v>
      </c>
      <c r="H35" s="83">
        <f t="shared" si="143"/>
        <v>0.99173553719008267</v>
      </c>
      <c r="I35" s="84">
        <f t="shared" si="144"/>
        <v>0.97560975609756095</v>
      </c>
      <c r="J35" s="23">
        <f t="shared" si="145"/>
        <v>12.1</v>
      </c>
      <c r="K35" s="7">
        <f t="shared" si="145"/>
        <v>13.9</v>
      </c>
      <c r="L35" s="83">
        <f t="shared" si="146"/>
        <v>0.99173553719008267</v>
      </c>
      <c r="M35" s="84">
        <f t="shared" si="147"/>
        <v>0.86330935251798557</v>
      </c>
      <c r="N35" s="23">
        <f t="shared" si="148"/>
        <v>11.9</v>
      </c>
      <c r="O35" s="7">
        <f t="shared" si="148"/>
        <v>13.7</v>
      </c>
      <c r="P35" s="83">
        <f t="shared" si="149"/>
        <v>1.0084033613445378</v>
      </c>
      <c r="Q35" s="84">
        <f t="shared" si="150"/>
        <v>0.87591240875912413</v>
      </c>
      <c r="R35" s="23">
        <f t="shared" si="151"/>
        <v>12.5</v>
      </c>
      <c r="S35" s="7">
        <f t="shared" si="151"/>
        <v>13.9</v>
      </c>
      <c r="T35" s="83">
        <f t="shared" si="152"/>
        <v>0.96</v>
      </c>
      <c r="U35" s="84">
        <f t="shared" si="153"/>
        <v>0.86330935251798557</v>
      </c>
      <c r="V35" s="23">
        <f t="shared" si="154"/>
        <v>12.3</v>
      </c>
      <c r="W35" s="7">
        <f t="shared" si="154"/>
        <v>13.7</v>
      </c>
      <c r="X35" s="83">
        <f t="shared" si="155"/>
        <v>0.97560975609756095</v>
      </c>
      <c r="Y35" s="84">
        <f t="shared" si="156"/>
        <v>0.87591240875912413</v>
      </c>
      <c r="Z35" s="23">
        <f t="shared" si="157"/>
        <v>12.4</v>
      </c>
      <c r="AA35" s="7">
        <f t="shared" si="157"/>
        <v>13.6</v>
      </c>
      <c r="AB35" s="83">
        <f t="shared" si="158"/>
        <v>0.96774193548387089</v>
      </c>
      <c r="AC35" s="84">
        <f t="shared" si="159"/>
        <v>0.88235294117647056</v>
      </c>
      <c r="AD35" s="23">
        <f t="shared" si="160"/>
        <v>12.2</v>
      </c>
      <c r="AE35" s="7">
        <f t="shared" si="160"/>
        <v>13.4</v>
      </c>
      <c r="AF35" s="83">
        <f t="shared" si="161"/>
        <v>0.98360655737704927</v>
      </c>
      <c r="AG35" s="84">
        <f t="shared" si="162"/>
        <v>0.89552238805970152</v>
      </c>
      <c r="AH35" s="23">
        <f t="shared" si="163"/>
        <v>12.2</v>
      </c>
      <c r="AI35" s="7">
        <f t="shared" si="163"/>
        <v>13.5</v>
      </c>
      <c r="AJ35" s="83">
        <f t="shared" si="164"/>
        <v>0.98360655737704927</v>
      </c>
      <c r="AK35" s="84">
        <f t="shared" si="165"/>
        <v>0.88888888888888884</v>
      </c>
      <c r="AL35" s="23">
        <f t="shared" si="166"/>
        <v>12</v>
      </c>
      <c r="AM35" s="7">
        <f t="shared" si="166"/>
        <v>13.3</v>
      </c>
      <c r="AN35" s="83">
        <f t="shared" si="167"/>
        <v>1</v>
      </c>
      <c r="AO35" s="451">
        <f t="shared" si="168"/>
        <v>0.90225563909774431</v>
      </c>
      <c r="AP35" s="457">
        <f t="shared" si="169"/>
        <v>12.1</v>
      </c>
      <c r="AQ35" s="7">
        <f t="shared" si="169"/>
        <v>12.3</v>
      </c>
      <c r="AR35" s="83">
        <f t="shared" si="170"/>
        <v>0.99173553719008267</v>
      </c>
      <c r="AS35" s="84">
        <f t="shared" si="171"/>
        <v>0.97560975609756095</v>
      </c>
      <c r="AT35" s="23">
        <f t="shared" si="172"/>
        <v>12.1</v>
      </c>
      <c r="AU35" s="7">
        <f t="shared" si="172"/>
        <v>12.3</v>
      </c>
      <c r="AV35" s="83">
        <f t="shared" si="173"/>
        <v>0.99173553719008267</v>
      </c>
      <c r="AW35" s="84">
        <f t="shared" si="174"/>
        <v>0.97560975609756095</v>
      </c>
      <c r="AX35" s="23">
        <f t="shared" si="175"/>
        <v>12.1</v>
      </c>
      <c r="AY35" s="7">
        <f t="shared" si="175"/>
        <v>12.3</v>
      </c>
      <c r="AZ35" s="83">
        <f t="shared" si="176"/>
        <v>0.99173553719008267</v>
      </c>
      <c r="BA35" s="84">
        <f t="shared" si="177"/>
        <v>0.97560975609756095</v>
      </c>
      <c r="BB35" s="23">
        <f t="shared" si="178"/>
        <v>11.9</v>
      </c>
      <c r="BC35" s="7">
        <f t="shared" si="178"/>
        <v>12.1</v>
      </c>
      <c r="BD35" s="83">
        <f t="shared" si="179"/>
        <v>1.0084033613445378</v>
      </c>
      <c r="BE35" s="84">
        <f t="shared" si="180"/>
        <v>0.99173553719008267</v>
      </c>
      <c r="BF35" s="23">
        <f t="shared" si="181"/>
        <v>12</v>
      </c>
      <c r="BG35" s="7">
        <f t="shared" si="181"/>
        <v>12.2</v>
      </c>
      <c r="BH35" s="83">
        <f t="shared" si="182"/>
        <v>1</v>
      </c>
      <c r="BI35" s="84">
        <f t="shared" si="183"/>
        <v>0.98360655737704927</v>
      </c>
      <c r="BJ35" s="23">
        <f t="shared" si="184"/>
        <v>11.8</v>
      </c>
      <c r="BK35" s="7">
        <f t="shared" si="184"/>
        <v>12</v>
      </c>
      <c r="BL35" s="83">
        <f t="shared" si="185"/>
        <v>1.0169491525423728</v>
      </c>
      <c r="BM35" s="84">
        <f t="shared" si="186"/>
        <v>1</v>
      </c>
      <c r="BN35" s="23">
        <f t="shared" si="187"/>
        <v>11.9</v>
      </c>
      <c r="BO35" s="7">
        <f t="shared" si="187"/>
        <v>12.1</v>
      </c>
      <c r="BP35" s="83">
        <f t="shared" si="188"/>
        <v>1.0084033613445378</v>
      </c>
      <c r="BQ35" s="84">
        <f t="shared" si="189"/>
        <v>0.99173553719008267</v>
      </c>
      <c r="BR35" s="23">
        <f t="shared" si="190"/>
        <v>11.7</v>
      </c>
      <c r="BS35" s="7">
        <f t="shared" si="190"/>
        <v>11.9</v>
      </c>
      <c r="BT35" s="83">
        <f t="shared" si="191"/>
        <v>1.0256410256410258</v>
      </c>
      <c r="BU35" s="84">
        <f t="shared" si="192"/>
        <v>1.0084033613445378</v>
      </c>
      <c r="BV35" s="23">
        <f t="shared" si="193"/>
        <v>11.7</v>
      </c>
      <c r="BW35" s="7">
        <f t="shared" si="193"/>
        <v>11.9</v>
      </c>
      <c r="BX35" s="83">
        <f t="shared" si="194"/>
        <v>1.0256410256410258</v>
      </c>
      <c r="BY35" s="84">
        <f t="shared" si="195"/>
        <v>1.0084033613445378</v>
      </c>
      <c r="BZ35" s="23">
        <f t="shared" si="196"/>
        <v>11.5</v>
      </c>
      <c r="CA35" s="7">
        <f t="shared" si="196"/>
        <v>11.7</v>
      </c>
      <c r="CB35" s="83">
        <f t="shared" si="197"/>
        <v>1.0434782608695652</v>
      </c>
      <c r="CC35" s="84">
        <f t="shared" si="198"/>
        <v>1.0256410256410258</v>
      </c>
      <c r="CD35" s="465"/>
      <c r="CE35" s="457">
        <f t="shared" si="199"/>
        <v>12.2</v>
      </c>
      <c r="CF35" s="23">
        <f t="shared" si="200"/>
        <v>12.2</v>
      </c>
      <c r="CG35" s="7">
        <f t="shared" si="201"/>
        <v>4.3</v>
      </c>
      <c r="CH35" s="83">
        <f t="shared" si="202"/>
        <v>0.98360655737704927</v>
      </c>
      <c r="CI35" s="459">
        <f t="shared" si="203"/>
        <v>0.98360655737704927</v>
      </c>
      <c r="CJ35" s="84">
        <f t="shared" si="276"/>
        <v>0.8179067041086181</v>
      </c>
      <c r="CK35" s="27">
        <f t="shared" si="204"/>
        <v>13</v>
      </c>
      <c r="CL35" s="23">
        <f t="shared" si="205"/>
        <v>13</v>
      </c>
      <c r="CM35" s="7">
        <f t="shared" si="206"/>
        <v>4.3</v>
      </c>
      <c r="CN35" s="83">
        <f t="shared" si="207"/>
        <v>0.92307692307692313</v>
      </c>
      <c r="CO35" s="459">
        <f t="shared" si="208"/>
        <v>0.92307692307692313</v>
      </c>
      <c r="CP35" s="84">
        <f t="shared" si="209"/>
        <v>0.8179067041086181</v>
      </c>
      <c r="CQ35" s="27">
        <f t="shared" si="210"/>
        <v>13</v>
      </c>
      <c r="CR35" s="23">
        <f t="shared" si="211"/>
        <v>13</v>
      </c>
      <c r="CS35" s="7">
        <f t="shared" si="212"/>
        <v>4.3</v>
      </c>
      <c r="CT35" s="83">
        <f t="shared" si="213"/>
        <v>0.92307692307692313</v>
      </c>
      <c r="CU35" s="459">
        <f t="shared" si="214"/>
        <v>0.92307692307692313</v>
      </c>
      <c r="CV35" s="84">
        <f t="shared" si="215"/>
        <v>0.8179067041086181</v>
      </c>
      <c r="CW35" s="27">
        <f t="shared" si="216"/>
        <v>18</v>
      </c>
      <c r="CX35" s="23">
        <f t="shared" si="217"/>
        <v>18</v>
      </c>
      <c r="CY35" s="7">
        <f t="shared" si="218"/>
        <v>3.7</v>
      </c>
      <c r="CZ35" s="83">
        <f t="shared" si="219"/>
        <v>0.66666666666666663</v>
      </c>
      <c r="DA35" s="459">
        <f t="shared" si="220"/>
        <v>0.66666666666666663</v>
      </c>
      <c r="DB35" s="84">
        <f t="shared" si="221"/>
        <v>0.95054022369379931</v>
      </c>
      <c r="DC35" s="27">
        <f t="shared" si="222"/>
        <v>18</v>
      </c>
      <c r="DD35" s="23">
        <f t="shared" si="223"/>
        <v>18</v>
      </c>
      <c r="DE35" s="7">
        <f t="shared" si="224"/>
        <v>3.7</v>
      </c>
      <c r="DF35" s="83">
        <f t="shared" si="225"/>
        <v>0.66666666666666663</v>
      </c>
      <c r="DG35" s="459">
        <f t="shared" si="226"/>
        <v>0.66666666666666663</v>
      </c>
      <c r="DH35" s="84">
        <f t="shared" si="227"/>
        <v>0.95054022369379931</v>
      </c>
      <c r="DI35" s="27">
        <f t="shared" si="228"/>
        <v>14.1</v>
      </c>
      <c r="DJ35" s="23">
        <f t="shared" si="229"/>
        <v>14.1</v>
      </c>
      <c r="DK35" s="7">
        <f t="shared" si="230"/>
        <v>3.2</v>
      </c>
      <c r="DL35" s="83">
        <f t="shared" si="231"/>
        <v>0.85106382978723405</v>
      </c>
      <c r="DM35" s="459">
        <f t="shared" si="232"/>
        <v>0.85106382978723405</v>
      </c>
      <c r="DN35" s="84">
        <f t="shared" si="233"/>
        <v>1.0990621336459554</v>
      </c>
      <c r="DO35" s="27">
        <f t="shared" si="234"/>
        <v>14.1</v>
      </c>
      <c r="DP35" s="23">
        <f t="shared" si="235"/>
        <v>14.1</v>
      </c>
      <c r="DQ35" s="7">
        <f t="shared" si="236"/>
        <v>3.2</v>
      </c>
      <c r="DR35" s="83">
        <f t="shared" si="237"/>
        <v>0.85106382978723405</v>
      </c>
      <c r="DS35" s="459">
        <f t="shared" si="238"/>
        <v>0.85106382978723405</v>
      </c>
      <c r="DT35" s="84">
        <f t="shared" si="239"/>
        <v>1.0990621336459554</v>
      </c>
      <c r="DU35" s="27">
        <f t="shared" si="240"/>
        <v>10.6</v>
      </c>
      <c r="DV35" s="23">
        <f t="shared" si="241"/>
        <v>10.6</v>
      </c>
      <c r="DW35" s="7">
        <f t="shared" si="242"/>
        <v>3.7</v>
      </c>
      <c r="DX35" s="83">
        <f t="shared" si="243"/>
        <v>1.1320754716981132</v>
      </c>
      <c r="DY35" s="459">
        <f t="shared" si="244"/>
        <v>1.1320754716981132</v>
      </c>
      <c r="DZ35" s="84">
        <f t="shared" si="245"/>
        <v>0.95054022369379931</v>
      </c>
      <c r="EA35" s="27">
        <f t="shared" si="246"/>
        <v>10.6</v>
      </c>
      <c r="EB35" s="23">
        <f t="shared" si="247"/>
        <v>10.6</v>
      </c>
      <c r="EC35" s="7">
        <f t="shared" si="248"/>
        <v>3.7</v>
      </c>
      <c r="ED35" s="83">
        <f t="shared" si="249"/>
        <v>1.1320754716981132</v>
      </c>
      <c r="EE35" s="459">
        <f t="shared" si="250"/>
        <v>1.1320754716981132</v>
      </c>
      <c r="EF35" s="84">
        <f t="shared" si="251"/>
        <v>0.95054022369379931</v>
      </c>
      <c r="EG35" s="27">
        <f t="shared" si="252"/>
        <v>16.3</v>
      </c>
      <c r="EH35" s="23">
        <f t="shared" si="253"/>
        <v>16.3</v>
      </c>
      <c r="EI35" s="7">
        <f t="shared" si="254"/>
        <v>3.1</v>
      </c>
      <c r="EJ35" s="83">
        <f t="shared" si="255"/>
        <v>0.73619631901840488</v>
      </c>
      <c r="EK35" s="459">
        <f t="shared" si="256"/>
        <v>0.73619631901840488</v>
      </c>
      <c r="EL35" s="84">
        <f t="shared" si="257"/>
        <v>1.1345157508603412</v>
      </c>
      <c r="EM35" s="27">
        <f t="shared" si="258"/>
        <v>16.3</v>
      </c>
      <c r="EN35" s="23">
        <f t="shared" si="259"/>
        <v>16.3</v>
      </c>
      <c r="EO35" s="7">
        <f t="shared" si="260"/>
        <v>3.1</v>
      </c>
      <c r="EP35" s="83">
        <f t="shared" si="261"/>
        <v>0.73619631901840488</v>
      </c>
      <c r="EQ35" s="459">
        <f t="shared" si="262"/>
        <v>0.73619631901840488</v>
      </c>
      <c r="ER35" s="84">
        <f t="shared" si="263"/>
        <v>1.1345157508603412</v>
      </c>
      <c r="ES35" s="27">
        <f t="shared" si="264"/>
        <v>12.1</v>
      </c>
      <c r="ET35" s="23">
        <f t="shared" si="265"/>
        <v>12.1</v>
      </c>
      <c r="EU35" s="7">
        <f t="shared" si="266"/>
        <v>2.5</v>
      </c>
      <c r="EV35" s="83">
        <f t="shared" si="267"/>
        <v>0.99173553719008267</v>
      </c>
      <c r="EW35" s="459">
        <f t="shared" si="268"/>
        <v>0.99173553719008267</v>
      </c>
      <c r="EX35" s="84">
        <f t="shared" si="269"/>
        <v>1.4067995310668231</v>
      </c>
      <c r="EY35" s="27">
        <f t="shared" si="270"/>
        <v>12.1</v>
      </c>
      <c r="EZ35" s="23">
        <f t="shared" si="271"/>
        <v>12.1</v>
      </c>
      <c r="FA35" s="7">
        <f t="shared" si="272"/>
        <v>2.5</v>
      </c>
      <c r="FB35" s="83">
        <f t="shared" si="273"/>
        <v>0.99173553719008267</v>
      </c>
      <c r="FC35" s="459">
        <f t="shared" si="274"/>
        <v>0.99173553719008267</v>
      </c>
      <c r="FD35" s="84">
        <f t="shared" si="275"/>
        <v>1.4067995310668231</v>
      </c>
      <c r="FE35" s="465"/>
    </row>
    <row r="36" spans="1:161" x14ac:dyDescent="0.25">
      <c r="A36" s="134" t="str">
        <v>ARTRM9.2</v>
      </c>
      <c r="B36" s="23">
        <v>12.1</v>
      </c>
      <c r="C36" s="7">
        <v>12.3</v>
      </c>
      <c r="D36" s="83">
        <f>12/B36</f>
        <v>0.99173553719008267</v>
      </c>
      <c r="E36" s="84">
        <f t="shared" si="2"/>
        <v>0.97560975609756095</v>
      </c>
      <c r="F36" s="23">
        <v>12.1</v>
      </c>
      <c r="G36" s="7">
        <v>12.3</v>
      </c>
      <c r="H36" s="83">
        <f t="shared" ref="H36:I37" si="277">12/F36</f>
        <v>0.99173553719008267</v>
      </c>
      <c r="I36" s="84">
        <f t="shared" si="277"/>
        <v>0.97560975609756095</v>
      </c>
      <c r="J36" s="11">
        <v>12.1</v>
      </c>
      <c r="K36" s="7">
        <v>13.9</v>
      </c>
      <c r="L36" s="83">
        <f t="shared" ref="L36:M37" si="278">12/J36</f>
        <v>0.99173553719008267</v>
      </c>
      <c r="M36" s="84">
        <f t="shared" si="278"/>
        <v>0.86330935251798557</v>
      </c>
      <c r="N36" s="10">
        <v>12.5</v>
      </c>
      <c r="O36" s="7">
        <v>13.9</v>
      </c>
      <c r="P36" s="83">
        <f t="shared" ref="P36:Q37" si="279">12/N36</f>
        <v>0.96</v>
      </c>
      <c r="Q36" s="84">
        <f t="shared" si="279"/>
        <v>0.86330935251798557</v>
      </c>
      <c r="R36" s="23">
        <v>12.5</v>
      </c>
      <c r="S36" s="7">
        <v>13.9</v>
      </c>
      <c r="T36" s="83">
        <f t="shared" ref="T36:U37" si="280">12/R36</f>
        <v>0.96</v>
      </c>
      <c r="U36" s="84">
        <f t="shared" si="280"/>
        <v>0.86330935251798557</v>
      </c>
      <c r="V36" s="11">
        <v>12.3</v>
      </c>
      <c r="W36" s="7">
        <v>13.7</v>
      </c>
      <c r="X36" s="83">
        <f t="shared" ref="X36:Y37" si="281">12/V36</f>
        <v>0.97560975609756095</v>
      </c>
      <c r="Y36" s="84">
        <f t="shared" si="281"/>
        <v>0.87591240875912413</v>
      </c>
      <c r="Z36" s="11">
        <v>12.4</v>
      </c>
      <c r="AA36" s="7">
        <v>13.6</v>
      </c>
      <c r="AB36" s="83">
        <f t="shared" ref="AB36:AC37" si="282">12/Z36</f>
        <v>0.96774193548387089</v>
      </c>
      <c r="AC36" s="84">
        <f t="shared" si="282"/>
        <v>0.88235294117647056</v>
      </c>
      <c r="AD36" s="10">
        <v>12.2</v>
      </c>
      <c r="AE36" s="7">
        <v>13.4</v>
      </c>
      <c r="AF36" s="83">
        <f t="shared" ref="AF36:AG37" si="283">12/AD36</f>
        <v>0.98360655737704927</v>
      </c>
      <c r="AG36" s="84">
        <f t="shared" si="283"/>
        <v>0.89552238805970152</v>
      </c>
      <c r="AH36" s="11">
        <v>12.4</v>
      </c>
      <c r="AI36" s="7">
        <v>13.6</v>
      </c>
      <c r="AJ36" s="83">
        <f t="shared" ref="AJ36:AK37" si="284">12/AH36</f>
        <v>0.96774193548387089</v>
      </c>
      <c r="AK36" s="84">
        <f t="shared" si="284"/>
        <v>0.88235294117647056</v>
      </c>
      <c r="AL36" s="10">
        <v>12.2</v>
      </c>
      <c r="AM36" s="7">
        <v>13.4</v>
      </c>
      <c r="AN36" s="83">
        <f t="shared" ref="AN36:AO37" si="285">12/AL36</f>
        <v>0.98360655737704927</v>
      </c>
      <c r="AO36" s="451">
        <f t="shared" si="285"/>
        <v>0.89552238805970152</v>
      </c>
      <c r="AP36" s="457">
        <v>12.1</v>
      </c>
      <c r="AQ36" s="7">
        <v>12.3</v>
      </c>
      <c r="AR36" s="83">
        <f t="shared" ref="AR36:AS37" si="286">12/AP36</f>
        <v>0.99173553719008267</v>
      </c>
      <c r="AS36" s="84">
        <f t="shared" si="286"/>
        <v>0.97560975609756095</v>
      </c>
      <c r="AT36" s="23">
        <v>12.1</v>
      </c>
      <c r="AU36" s="7">
        <v>12.3</v>
      </c>
      <c r="AV36" s="83">
        <f t="shared" ref="AV36:AW37" si="287">12/AT36</f>
        <v>0.99173553719008267</v>
      </c>
      <c r="AW36" s="84">
        <f t="shared" si="287"/>
        <v>0.97560975609756095</v>
      </c>
      <c r="AX36" s="11">
        <v>12.1</v>
      </c>
      <c r="AY36" s="7">
        <v>13.9</v>
      </c>
      <c r="AZ36" s="83">
        <f t="shared" ref="AZ36:BA37" si="288">12/AX36</f>
        <v>0.99173553719008267</v>
      </c>
      <c r="BA36" s="84">
        <f t="shared" si="288"/>
        <v>0.86330935251798557</v>
      </c>
      <c r="BB36" s="10">
        <v>12.5</v>
      </c>
      <c r="BC36" s="7">
        <v>13.9</v>
      </c>
      <c r="BD36" s="83">
        <f t="shared" ref="BD36:BE37" si="289">12/BB36</f>
        <v>0.96</v>
      </c>
      <c r="BE36" s="84">
        <f t="shared" si="289"/>
        <v>0.86330935251798557</v>
      </c>
      <c r="BF36" s="23">
        <v>12.5</v>
      </c>
      <c r="BG36" s="7">
        <v>13.9</v>
      </c>
      <c r="BH36" s="83">
        <f t="shared" ref="BH36:BI37" si="290">12/BF36</f>
        <v>0.96</v>
      </c>
      <c r="BI36" s="84">
        <f t="shared" si="290"/>
        <v>0.86330935251798557</v>
      </c>
      <c r="BJ36" s="11">
        <v>12.3</v>
      </c>
      <c r="BK36" s="7">
        <v>13.7</v>
      </c>
      <c r="BL36" s="83">
        <f t="shared" ref="BL36:BM37" si="291">12/BJ36</f>
        <v>0.97560975609756095</v>
      </c>
      <c r="BM36" s="84">
        <f t="shared" si="291"/>
        <v>0.87591240875912413</v>
      </c>
      <c r="BN36" s="11">
        <v>12.4</v>
      </c>
      <c r="BO36" s="7">
        <v>13.6</v>
      </c>
      <c r="BP36" s="83">
        <f t="shared" ref="BP36:BQ37" si="292">12/BN36</f>
        <v>0.96774193548387089</v>
      </c>
      <c r="BQ36" s="84">
        <f t="shared" si="292"/>
        <v>0.88235294117647056</v>
      </c>
      <c r="BR36" s="10">
        <v>12.2</v>
      </c>
      <c r="BS36" s="7">
        <v>13.4</v>
      </c>
      <c r="BT36" s="83">
        <f t="shared" ref="BT36:BU37" si="293">12/BR36</f>
        <v>0.98360655737704927</v>
      </c>
      <c r="BU36" s="84">
        <f t="shared" si="293"/>
        <v>0.89552238805970152</v>
      </c>
      <c r="BV36" s="11">
        <v>12.4</v>
      </c>
      <c r="BW36" s="7">
        <v>13.6</v>
      </c>
      <c r="BX36" s="83">
        <f t="shared" ref="BX36:BY37" si="294">12/BV36</f>
        <v>0.96774193548387089</v>
      </c>
      <c r="BY36" s="84">
        <f t="shared" si="294"/>
        <v>0.88235294117647056</v>
      </c>
      <c r="BZ36" s="10">
        <v>12.2</v>
      </c>
      <c r="CA36" s="7">
        <v>13.4</v>
      </c>
      <c r="CB36" s="83">
        <f t="shared" ref="CB36:CC37" si="295">12/BZ36</f>
        <v>0.98360655737704927</v>
      </c>
      <c r="CC36" s="84">
        <f t="shared" si="295"/>
        <v>0.89552238805970152</v>
      </c>
      <c r="CD36" s="465" t="s">
        <v>1197</v>
      </c>
      <c r="CE36" s="457">
        <v>11.8</v>
      </c>
      <c r="CF36" s="470">
        <v>14</v>
      </c>
      <c r="CG36" s="94">
        <f>8.2/3.412</f>
        <v>2.4032825322391558</v>
      </c>
      <c r="CH36" s="83">
        <f t="shared" ref="CH36" si="296">12/CE36</f>
        <v>1.0169491525423728</v>
      </c>
      <c r="CI36" s="459">
        <f t="shared" si="64"/>
        <v>0.8571428571428571</v>
      </c>
      <c r="CJ36" s="84">
        <f t="shared" si="138"/>
        <v>1.4634146341463417</v>
      </c>
      <c r="CK36" s="27">
        <f>CE36</f>
        <v>11.8</v>
      </c>
      <c r="CL36" s="470">
        <f t="shared" ref="CL36:CM36" si="297">CF36</f>
        <v>14</v>
      </c>
      <c r="CM36" s="94">
        <f t="shared" si="297"/>
        <v>2.4032825322391558</v>
      </c>
      <c r="CN36" s="83">
        <f>12/CK36</f>
        <v>1.0169491525423728</v>
      </c>
      <c r="CO36" s="459">
        <f t="shared" si="70"/>
        <v>0.8571428571428571</v>
      </c>
      <c r="CP36" s="84">
        <f>12/3.412/CM36</f>
        <v>1.4634146341463417</v>
      </c>
      <c r="CQ36" s="27">
        <v>11</v>
      </c>
      <c r="CR36" s="470">
        <v>12</v>
      </c>
      <c r="CS36" s="94">
        <v>3.3</v>
      </c>
      <c r="CT36" s="83">
        <f>12/CQ36</f>
        <v>1.0909090909090908</v>
      </c>
      <c r="CU36" s="459">
        <f t="shared" si="76"/>
        <v>1</v>
      </c>
      <c r="CV36" s="84">
        <f>12/3.412/CS36</f>
        <v>1.0657572205051691</v>
      </c>
      <c r="CW36" s="27">
        <f>$CE36</f>
        <v>11.8</v>
      </c>
      <c r="CX36" s="470">
        <f>$CF36</f>
        <v>14</v>
      </c>
      <c r="CY36" s="94">
        <f>$CG36</f>
        <v>2.4032825322391558</v>
      </c>
      <c r="CZ36" s="83">
        <f>12/CW36</f>
        <v>1.0169491525423728</v>
      </c>
      <c r="DA36" s="459">
        <f t="shared" si="82"/>
        <v>0.8571428571428571</v>
      </c>
      <c r="DB36" s="84">
        <f>12/3.412/CY36</f>
        <v>1.4634146341463417</v>
      </c>
      <c r="DC36" s="27">
        <f>$CQ36</f>
        <v>11</v>
      </c>
      <c r="DD36" s="470">
        <f>$CR36</f>
        <v>12</v>
      </c>
      <c r="DE36" s="94">
        <f>$CS36</f>
        <v>3.3</v>
      </c>
      <c r="DF36" s="83">
        <f>12/DC36</f>
        <v>1.0909090909090908</v>
      </c>
      <c r="DG36" s="459">
        <f t="shared" si="88"/>
        <v>1</v>
      </c>
      <c r="DH36" s="84">
        <f>12/3.412/DE36</f>
        <v>1.0657572205051691</v>
      </c>
      <c r="DI36" s="27">
        <f>$CE36</f>
        <v>11.8</v>
      </c>
      <c r="DJ36" s="470">
        <f>$CF36</f>
        <v>14</v>
      </c>
      <c r="DK36" s="94">
        <f>$CG36</f>
        <v>2.4032825322391558</v>
      </c>
      <c r="DL36" s="83">
        <f>12/DI36</f>
        <v>1.0169491525423728</v>
      </c>
      <c r="DM36" s="459">
        <f t="shared" si="94"/>
        <v>0.8571428571428571</v>
      </c>
      <c r="DN36" s="84">
        <f>12/3.412/DK36</f>
        <v>1.4634146341463417</v>
      </c>
      <c r="DO36" s="27">
        <f>$CQ36</f>
        <v>11</v>
      </c>
      <c r="DP36" s="470">
        <f>$CR36</f>
        <v>12</v>
      </c>
      <c r="DQ36" s="94">
        <f>$CS36</f>
        <v>3.3</v>
      </c>
      <c r="DR36" s="83">
        <f>12/DO36</f>
        <v>1.0909090909090908</v>
      </c>
      <c r="DS36" s="459">
        <f t="shared" si="100"/>
        <v>1</v>
      </c>
      <c r="DT36" s="84">
        <f>12/3.412/DQ36</f>
        <v>1.0657572205051691</v>
      </c>
      <c r="DU36" s="27">
        <f>$CE36</f>
        <v>11.8</v>
      </c>
      <c r="DV36" s="470">
        <f>$CF36</f>
        <v>14</v>
      </c>
      <c r="DW36" s="94">
        <f>$CG36</f>
        <v>2.4032825322391558</v>
      </c>
      <c r="DX36" s="83">
        <f>12/DU36</f>
        <v>1.0169491525423728</v>
      </c>
      <c r="DY36" s="459">
        <f t="shared" si="106"/>
        <v>0.8571428571428571</v>
      </c>
      <c r="DZ36" s="84">
        <f>12/3.412/DW36</f>
        <v>1.4634146341463417</v>
      </c>
      <c r="EA36" s="27">
        <f>$CQ36</f>
        <v>11</v>
      </c>
      <c r="EB36" s="470">
        <f>$CR36</f>
        <v>12</v>
      </c>
      <c r="EC36" s="94">
        <f>$CS36</f>
        <v>3.3</v>
      </c>
      <c r="ED36" s="83">
        <f>12/EA36</f>
        <v>1.0909090909090908</v>
      </c>
      <c r="EE36" s="459">
        <f t="shared" si="112"/>
        <v>1</v>
      </c>
      <c r="EF36" s="84">
        <f>12/3.412/EC36</f>
        <v>1.0657572205051691</v>
      </c>
      <c r="EG36" s="27">
        <f>$CE36</f>
        <v>11.8</v>
      </c>
      <c r="EH36" s="470">
        <f>$CF36</f>
        <v>14</v>
      </c>
      <c r="EI36" s="94">
        <f>$CG36</f>
        <v>2.4032825322391558</v>
      </c>
      <c r="EJ36" s="83">
        <f>12/EG36</f>
        <v>1.0169491525423728</v>
      </c>
      <c r="EK36" s="459">
        <f t="shared" si="118"/>
        <v>0.8571428571428571</v>
      </c>
      <c r="EL36" s="84">
        <f>12/3.412/EI36</f>
        <v>1.4634146341463417</v>
      </c>
      <c r="EM36" s="27">
        <f>$CQ36</f>
        <v>11</v>
      </c>
      <c r="EN36" s="470">
        <f>$CR36</f>
        <v>12</v>
      </c>
      <c r="EO36" s="94">
        <f>$CS36</f>
        <v>3.3</v>
      </c>
      <c r="EP36" s="83">
        <f>12/EM36</f>
        <v>1.0909090909090908</v>
      </c>
      <c r="EQ36" s="459">
        <f t="shared" si="124"/>
        <v>1</v>
      </c>
      <c r="ER36" s="84">
        <f>12/3.412/EO36</f>
        <v>1.0657572205051691</v>
      </c>
      <c r="ES36" s="27">
        <f>$CE36</f>
        <v>11.8</v>
      </c>
      <c r="ET36" s="470">
        <f>$CF36</f>
        <v>14</v>
      </c>
      <c r="EU36" s="94">
        <f>$CG36</f>
        <v>2.4032825322391558</v>
      </c>
      <c r="EV36" s="83">
        <f>12/ES36</f>
        <v>1.0169491525423728</v>
      </c>
      <c r="EW36" s="459">
        <f t="shared" si="130"/>
        <v>0.8571428571428571</v>
      </c>
      <c r="EX36" s="84">
        <f>12/3.412/EU36</f>
        <v>1.4634146341463417</v>
      </c>
      <c r="EY36" s="27">
        <f>$CQ36</f>
        <v>11</v>
      </c>
      <c r="EZ36" s="470">
        <f>$CR36</f>
        <v>12</v>
      </c>
      <c r="FA36" s="94">
        <f>$CS36</f>
        <v>3.3</v>
      </c>
      <c r="FB36" s="83">
        <f>12/EY36</f>
        <v>1.0909090909090908</v>
      </c>
      <c r="FC36" s="459">
        <f t="shared" si="136"/>
        <v>1</v>
      </c>
      <c r="FD36" s="84">
        <f>12/3.412/FA36</f>
        <v>1.0657572205051691</v>
      </c>
      <c r="FE36" s="465" t="s">
        <v>1198</v>
      </c>
    </row>
    <row r="37" spans="1:161" ht="15.75" thickBot="1" x14ac:dyDescent="0.3">
      <c r="A37" s="243" t="str">
        <v>CPS</v>
      </c>
      <c r="B37" s="29">
        <v>12.1</v>
      </c>
      <c r="C37" s="20">
        <v>12.3</v>
      </c>
      <c r="D37" s="101">
        <f>12/B37</f>
        <v>0.99173553719008267</v>
      </c>
      <c r="E37" s="102">
        <f t="shared" si="2"/>
        <v>0.97560975609756095</v>
      </c>
      <c r="F37" s="29">
        <v>12.1</v>
      </c>
      <c r="G37" s="20">
        <v>12.3</v>
      </c>
      <c r="H37" s="101">
        <f t="shared" si="277"/>
        <v>0.99173553719008267</v>
      </c>
      <c r="I37" s="102">
        <f t="shared" si="277"/>
        <v>0.97560975609756095</v>
      </c>
      <c r="J37" s="22">
        <v>12.1</v>
      </c>
      <c r="K37" s="18">
        <v>13.9</v>
      </c>
      <c r="L37" s="101">
        <f t="shared" si="278"/>
        <v>0.99173553719008267</v>
      </c>
      <c r="M37" s="102">
        <f t="shared" si="278"/>
        <v>0.86330935251798557</v>
      </c>
      <c r="N37" s="22">
        <v>11.9</v>
      </c>
      <c r="O37" s="18">
        <v>13.7</v>
      </c>
      <c r="P37" s="101">
        <f t="shared" si="279"/>
        <v>1.0084033613445378</v>
      </c>
      <c r="Q37" s="102">
        <f t="shared" si="279"/>
        <v>0.87591240875912413</v>
      </c>
      <c r="R37" s="29">
        <v>12.5</v>
      </c>
      <c r="S37" s="20">
        <v>13.9</v>
      </c>
      <c r="T37" s="101">
        <f t="shared" si="280"/>
        <v>0.96</v>
      </c>
      <c r="U37" s="102">
        <f t="shared" si="280"/>
        <v>0.86330935251798557</v>
      </c>
      <c r="V37" s="17">
        <v>12.3</v>
      </c>
      <c r="W37" s="20">
        <v>13.7</v>
      </c>
      <c r="X37" s="101">
        <f t="shared" si="281"/>
        <v>0.97560975609756095</v>
      </c>
      <c r="Y37" s="102">
        <f t="shared" si="281"/>
        <v>0.87591240875912413</v>
      </c>
      <c r="Z37" s="22">
        <v>12.4</v>
      </c>
      <c r="AA37" s="18">
        <v>13.6</v>
      </c>
      <c r="AB37" s="101">
        <f t="shared" si="282"/>
        <v>0.96774193548387089</v>
      </c>
      <c r="AC37" s="102">
        <f t="shared" si="282"/>
        <v>0.88235294117647056</v>
      </c>
      <c r="AD37" s="22">
        <v>12.2</v>
      </c>
      <c r="AE37" s="18">
        <v>13.4</v>
      </c>
      <c r="AF37" s="101">
        <f t="shared" si="283"/>
        <v>0.98360655737704927</v>
      </c>
      <c r="AG37" s="102">
        <f t="shared" si="283"/>
        <v>0.89552238805970152</v>
      </c>
      <c r="AH37" s="22">
        <v>12.2</v>
      </c>
      <c r="AI37" s="18">
        <v>13.5</v>
      </c>
      <c r="AJ37" s="101">
        <f t="shared" si="284"/>
        <v>0.98360655737704927</v>
      </c>
      <c r="AK37" s="102">
        <f t="shared" si="284"/>
        <v>0.88888888888888884</v>
      </c>
      <c r="AL37" s="22">
        <v>12</v>
      </c>
      <c r="AM37" s="18">
        <v>13.3</v>
      </c>
      <c r="AN37" s="101">
        <f t="shared" si="285"/>
        <v>1</v>
      </c>
      <c r="AO37" s="452">
        <f t="shared" si="285"/>
        <v>0.90225563909774431</v>
      </c>
      <c r="AP37" s="458">
        <v>12.1</v>
      </c>
      <c r="AQ37" s="20">
        <v>12.3</v>
      </c>
      <c r="AR37" s="101">
        <f t="shared" si="286"/>
        <v>0.99173553719008267</v>
      </c>
      <c r="AS37" s="102">
        <f t="shared" si="286"/>
        <v>0.97560975609756095</v>
      </c>
      <c r="AT37" s="29">
        <v>12.1</v>
      </c>
      <c r="AU37" s="20">
        <v>12.3</v>
      </c>
      <c r="AV37" s="101">
        <f t="shared" si="287"/>
        <v>0.99173553719008267</v>
      </c>
      <c r="AW37" s="102">
        <f t="shared" si="287"/>
        <v>0.97560975609756095</v>
      </c>
      <c r="AX37" s="22">
        <v>12.1</v>
      </c>
      <c r="AY37" s="18">
        <v>12.3</v>
      </c>
      <c r="AZ37" s="101">
        <f t="shared" si="288"/>
        <v>0.99173553719008267</v>
      </c>
      <c r="BA37" s="102">
        <f t="shared" si="288"/>
        <v>0.97560975609756095</v>
      </c>
      <c r="BB37" s="22">
        <v>11.9</v>
      </c>
      <c r="BC37" s="18">
        <v>12.1</v>
      </c>
      <c r="BD37" s="101">
        <f t="shared" si="289"/>
        <v>1.0084033613445378</v>
      </c>
      <c r="BE37" s="102">
        <f t="shared" si="289"/>
        <v>0.99173553719008267</v>
      </c>
      <c r="BF37" s="29">
        <v>12</v>
      </c>
      <c r="BG37" s="20">
        <v>12.2</v>
      </c>
      <c r="BH37" s="101">
        <f t="shared" si="290"/>
        <v>1</v>
      </c>
      <c r="BI37" s="102">
        <f t="shared" si="290"/>
        <v>0.98360655737704927</v>
      </c>
      <c r="BJ37" s="17">
        <v>11.8</v>
      </c>
      <c r="BK37" s="20">
        <v>12</v>
      </c>
      <c r="BL37" s="101">
        <f t="shared" si="291"/>
        <v>1.0169491525423728</v>
      </c>
      <c r="BM37" s="102">
        <f t="shared" si="291"/>
        <v>1</v>
      </c>
      <c r="BN37" s="22">
        <v>11.9</v>
      </c>
      <c r="BO37" s="18">
        <v>12.1</v>
      </c>
      <c r="BP37" s="101">
        <f t="shared" si="292"/>
        <v>1.0084033613445378</v>
      </c>
      <c r="BQ37" s="102">
        <f t="shared" si="292"/>
        <v>0.99173553719008267</v>
      </c>
      <c r="BR37" s="22">
        <v>11.7</v>
      </c>
      <c r="BS37" s="18">
        <v>11.9</v>
      </c>
      <c r="BT37" s="101">
        <f t="shared" si="293"/>
        <v>1.0256410256410258</v>
      </c>
      <c r="BU37" s="102">
        <f t="shared" si="293"/>
        <v>1.0084033613445378</v>
      </c>
      <c r="BV37" s="22">
        <v>11.7</v>
      </c>
      <c r="BW37" s="18">
        <v>11.9</v>
      </c>
      <c r="BX37" s="101">
        <f t="shared" si="294"/>
        <v>1.0256410256410258</v>
      </c>
      <c r="BY37" s="102">
        <f t="shared" si="294"/>
        <v>1.0084033613445378</v>
      </c>
      <c r="BZ37" s="22">
        <v>11.5</v>
      </c>
      <c r="CA37" s="18">
        <v>11.7</v>
      </c>
      <c r="CB37" s="101">
        <f t="shared" si="295"/>
        <v>1.0434782608695652</v>
      </c>
      <c r="CC37" s="102">
        <f t="shared" si="295"/>
        <v>1.0256410256410258</v>
      </c>
      <c r="CD37" s="466" t="s">
        <v>1495</v>
      </c>
      <c r="CE37" s="458">
        <v>12.2</v>
      </c>
      <c r="CF37" s="471">
        <f>CE37</f>
        <v>12.2</v>
      </c>
      <c r="CG37" s="95">
        <v>4.3</v>
      </c>
      <c r="CH37" s="99">
        <f>12/CE37</f>
        <v>0.98360655737704927</v>
      </c>
      <c r="CI37" s="460">
        <f t="shared" si="64"/>
        <v>0.98360655737704927</v>
      </c>
      <c r="CJ37" s="100">
        <f>12/3.412/CG37</f>
        <v>0.8179067041086181</v>
      </c>
      <c r="CK37" s="17">
        <v>13</v>
      </c>
      <c r="CL37" s="471">
        <f>CK37</f>
        <v>13</v>
      </c>
      <c r="CM37" s="95">
        <v>4.3</v>
      </c>
      <c r="CN37" s="99">
        <f>12/CK37</f>
        <v>0.92307692307692313</v>
      </c>
      <c r="CO37" s="460">
        <f t="shared" si="70"/>
        <v>0.92307692307692313</v>
      </c>
      <c r="CP37" s="100">
        <f>12/3.412/CM37</f>
        <v>0.8179067041086181</v>
      </c>
      <c r="CQ37" s="17">
        <v>13</v>
      </c>
      <c r="CR37" s="471">
        <f>CQ37</f>
        <v>13</v>
      </c>
      <c r="CS37" s="95">
        <v>4.3</v>
      </c>
      <c r="CT37" s="99">
        <f>12/CQ37</f>
        <v>0.92307692307692313</v>
      </c>
      <c r="CU37" s="460">
        <f t="shared" si="76"/>
        <v>0.92307692307692313</v>
      </c>
      <c r="CV37" s="100">
        <f>12/3.412/CS37</f>
        <v>0.8179067041086181</v>
      </c>
      <c r="CW37" s="29">
        <v>18</v>
      </c>
      <c r="CX37" s="471">
        <f>CW37</f>
        <v>18</v>
      </c>
      <c r="CY37" s="19">
        <v>3.7</v>
      </c>
      <c r="CZ37" s="99">
        <f>12/CW37</f>
        <v>0.66666666666666663</v>
      </c>
      <c r="DA37" s="460">
        <f t="shared" si="82"/>
        <v>0.66666666666666663</v>
      </c>
      <c r="DB37" s="100">
        <f>12/3.412/CY37</f>
        <v>0.95054022369379931</v>
      </c>
      <c r="DC37" s="29">
        <v>18</v>
      </c>
      <c r="DD37" s="471">
        <f>DC37</f>
        <v>18</v>
      </c>
      <c r="DE37" s="19">
        <v>3.7</v>
      </c>
      <c r="DF37" s="99">
        <f>12/DC37</f>
        <v>0.66666666666666663</v>
      </c>
      <c r="DG37" s="460">
        <f t="shared" si="88"/>
        <v>0.66666666666666663</v>
      </c>
      <c r="DH37" s="100">
        <f>12/3.412/DE37</f>
        <v>0.95054022369379931</v>
      </c>
      <c r="DI37" s="22">
        <v>14.1</v>
      </c>
      <c r="DJ37" s="472">
        <f>DI37</f>
        <v>14.1</v>
      </c>
      <c r="DK37" s="19">
        <v>3.2</v>
      </c>
      <c r="DL37" s="99">
        <f>12/DI37</f>
        <v>0.85106382978723405</v>
      </c>
      <c r="DM37" s="460">
        <f t="shared" si="94"/>
        <v>0.85106382978723405</v>
      </c>
      <c r="DN37" s="100">
        <f>12/3.412/DK37</f>
        <v>1.0990621336459554</v>
      </c>
      <c r="DO37" s="22">
        <v>14.1</v>
      </c>
      <c r="DP37" s="472">
        <f>DO37</f>
        <v>14.1</v>
      </c>
      <c r="DQ37" s="19">
        <v>3.2</v>
      </c>
      <c r="DR37" s="99">
        <f>12/DO37</f>
        <v>0.85106382978723405</v>
      </c>
      <c r="DS37" s="460">
        <f t="shared" si="100"/>
        <v>0.85106382978723405</v>
      </c>
      <c r="DT37" s="100">
        <f>12/3.412/DQ37</f>
        <v>1.0990621336459554</v>
      </c>
      <c r="DU37" s="17">
        <v>10.6</v>
      </c>
      <c r="DV37" s="471">
        <f>DU37</f>
        <v>10.6</v>
      </c>
      <c r="DW37" s="21">
        <v>3.7</v>
      </c>
      <c r="DX37" s="99">
        <f>12/DU37</f>
        <v>1.1320754716981132</v>
      </c>
      <c r="DY37" s="460">
        <f t="shared" si="106"/>
        <v>1.1320754716981132</v>
      </c>
      <c r="DZ37" s="100">
        <f t="shared" ref="DZ37" si="298">12/3.412/DW37</f>
        <v>0.95054022369379931</v>
      </c>
      <c r="EA37" s="17">
        <v>10.6</v>
      </c>
      <c r="EB37" s="471">
        <f>EA37</f>
        <v>10.6</v>
      </c>
      <c r="EC37" s="21">
        <v>3.7</v>
      </c>
      <c r="ED37" s="99">
        <f>12/EA37</f>
        <v>1.1320754716981132</v>
      </c>
      <c r="EE37" s="460">
        <f t="shared" si="112"/>
        <v>1.1320754716981132</v>
      </c>
      <c r="EF37" s="100">
        <f t="shared" ref="EF37" si="299">12/3.412/EC37</f>
        <v>0.95054022369379931</v>
      </c>
      <c r="EG37" s="17">
        <v>16.3</v>
      </c>
      <c r="EH37" s="471">
        <f>EG37</f>
        <v>16.3</v>
      </c>
      <c r="EI37" s="21">
        <v>3.1</v>
      </c>
      <c r="EJ37" s="99">
        <f>12/EG37</f>
        <v>0.73619631901840488</v>
      </c>
      <c r="EK37" s="460">
        <f t="shared" si="118"/>
        <v>0.73619631901840488</v>
      </c>
      <c r="EL37" s="100">
        <f t="shared" ref="EL37" si="300">12/3.412/EI37</f>
        <v>1.1345157508603412</v>
      </c>
      <c r="EM37" s="17">
        <v>16.3</v>
      </c>
      <c r="EN37" s="471">
        <f>EM37</f>
        <v>16.3</v>
      </c>
      <c r="EO37" s="21">
        <v>3.1</v>
      </c>
      <c r="EP37" s="99">
        <f>12/EM37</f>
        <v>0.73619631901840488</v>
      </c>
      <c r="EQ37" s="460">
        <f t="shared" si="124"/>
        <v>0.73619631901840488</v>
      </c>
      <c r="ER37" s="100">
        <f t="shared" ref="ER37" si="301">12/3.412/EO37</f>
        <v>1.1345157508603412</v>
      </c>
      <c r="ES37" s="17">
        <v>12.1</v>
      </c>
      <c r="ET37" s="471">
        <f>ES37</f>
        <v>12.1</v>
      </c>
      <c r="EU37" s="21">
        <v>2.5</v>
      </c>
      <c r="EV37" s="99">
        <f>12/ES37</f>
        <v>0.99173553719008267</v>
      </c>
      <c r="EW37" s="460">
        <f t="shared" si="130"/>
        <v>0.99173553719008267</v>
      </c>
      <c r="EX37" s="100">
        <f t="shared" ref="EX37" si="302">12/3.412/EU37</f>
        <v>1.4067995310668231</v>
      </c>
      <c r="EY37" s="17">
        <v>12.1</v>
      </c>
      <c r="EZ37" s="471">
        <f>EY37</f>
        <v>12.1</v>
      </c>
      <c r="FA37" s="21">
        <v>2.5</v>
      </c>
      <c r="FB37" s="99">
        <f>12/EY37</f>
        <v>0.99173553719008267</v>
      </c>
      <c r="FC37" s="460">
        <f t="shared" si="136"/>
        <v>0.99173553719008267</v>
      </c>
      <c r="FD37" s="100">
        <f t="shared" ref="FD37" si="303">12/3.412/FA37</f>
        <v>1.4067995310668231</v>
      </c>
      <c r="FE37" s="12" t="s">
        <v>1496</v>
      </c>
    </row>
    <row r="38" spans="1:161" x14ac:dyDescent="0.25">
      <c r="A38" s="4"/>
      <c r="B38" s="5"/>
      <c r="C38" s="16"/>
      <c r="D38" s="5"/>
      <c r="E38" s="5"/>
      <c r="F38" s="5"/>
      <c r="G38" s="16"/>
      <c r="H38" s="5"/>
      <c r="I38" s="5"/>
      <c r="J38" s="14"/>
      <c r="K38" s="5"/>
      <c r="L38" s="5"/>
      <c r="M38" s="5"/>
      <c r="N38" s="5"/>
      <c r="O38" s="5"/>
      <c r="P38" s="14"/>
      <c r="Q38" s="14"/>
      <c r="R38" s="5"/>
      <c r="S38" s="16"/>
      <c r="T38" s="5"/>
      <c r="U38" s="5"/>
      <c r="V38" s="5"/>
      <c r="W38" s="14"/>
      <c r="X38" s="5"/>
      <c r="Y38" s="5"/>
      <c r="Z38" s="14"/>
      <c r="AA38" s="5"/>
      <c r="AB38" s="5"/>
      <c r="AC38" s="5"/>
      <c r="AD38" s="5"/>
      <c r="AE38" s="5"/>
      <c r="AF38" s="14"/>
      <c r="AG38" s="14"/>
      <c r="AH38" s="14"/>
      <c r="AI38" s="5"/>
      <c r="AJ38" s="5"/>
      <c r="AK38" s="5"/>
      <c r="AL38" s="5"/>
      <c r="AM38" s="5"/>
      <c r="AN38" s="14"/>
      <c r="AO38" s="14"/>
      <c r="AP38" s="5"/>
      <c r="AQ38" s="16"/>
      <c r="AR38" s="5"/>
      <c r="AS38" s="5"/>
      <c r="AT38" s="5"/>
      <c r="AU38" s="16"/>
      <c r="AV38" s="5"/>
      <c r="AW38" s="5"/>
      <c r="AX38" s="14"/>
      <c r="AY38" s="5"/>
      <c r="AZ38" s="5"/>
      <c r="BA38" s="5"/>
      <c r="BB38" s="5"/>
      <c r="BC38" s="5"/>
      <c r="BD38" s="14"/>
      <c r="BE38" s="14"/>
      <c r="BF38" s="5"/>
      <c r="BG38" s="16"/>
      <c r="BH38" s="5"/>
      <c r="BI38" s="5"/>
      <c r="BJ38" s="5"/>
      <c r="BK38" s="14"/>
      <c r="BL38" s="5"/>
      <c r="BM38" s="5"/>
      <c r="BN38" s="14"/>
      <c r="BO38" s="5"/>
      <c r="BP38" s="5"/>
      <c r="BQ38" s="5"/>
      <c r="BR38" s="5"/>
      <c r="BS38" s="5"/>
      <c r="BT38" s="14"/>
      <c r="BU38" s="14"/>
      <c r="BV38" s="14"/>
      <c r="BW38" s="5"/>
      <c r="BX38" s="5"/>
      <c r="BY38" s="5"/>
      <c r="BZ38" s="5"/>
      <c r="CA38" s="5"/>
      <c r="CB38" s="14"/>
      <c r="CC38" s="14"/>
      <c r="CD38" s="15"/>
      <c r="CE38" s="5"/>
      <c r="CF38" s="5"/>
      <c r="CG38" s="5"/>
      <c r="CH38" s="5"/>
      <c r="CI38" s="5"/>
      <c r="CJ38" s="5"/>
      <c r="CK38" s="5"/>
      <c r="CL38" s="5"/>
      <c r="CM38" s="5"/>
      <c r="CN38" s="5"/>
      <c r="CO38" s="5"/>
      <c r="CP38" s="5"/>
      <c r="CQ38" s="5"/>
      <c r="CR38" s="5"/>
      <c r="CS38" s="5"/>
      <c r="CT38" s="5"/>
      <c r="CU38" s="5"/>
      <c r="CV38" s="5"/>
      <c r="CW38" s="5"/>
      <c r="CX38" s="5"/>
      <c r="CY38" s="5"/>
      <c r="CZ38" s="5"/>
      <c r="DA38" s="5"/>
      <c r="DB38" s="5"/>
      <c r="DC38" s="5"/>
      <c r="DD38" s="5"/>
      <c r="DE38" s="5"/>
      <c r="DF38" s="5"/>
      <c r="DG38" s="5"/>
      <c r="DH38" s="5"/>
      <c r="DI38" s="14"/>
      <c r="DJ38" s="14"/>
      <c r="DK38" s="5"/>
      <c r="DL38" s="5"/>
      <c r="DM38" s="5"/>
      <c r="DN38" s="5"/>
      <c r="DO38" s="14"/>
      <c r="DP38" s="14"/>
      <c r="DQ38" s="5"/>
      <c r="DR38" s="5"/>
      <c r="DS38" s="5"/>
      <c r="DT38" s="5"/>
      <c r="DU38" s="5"/>
      <c r="DV38" s="5"/>
      <c r="DW38" s="14"/>
      <c r="DX38" s="14"/>
      <c r="DY38" s="14"/>
      <c r="DZ38" s="5"/>
      <c r="EA38" s="5"/>
      <c r="EB38" s="5"/>
      <c r="EC38" s="14"/>
      <c r="ED38" s="14"/>
      <c r="EE38" s="14"/>
      <c r="EF38" s="5"/>
      <c r="EG38" s="5"/>
      <c r="EH38" s="5"/>
      <c r="EI38" s="14"/>
      <c r="EJ38" s="14"/>
      <c r="EK38" s="14"/>
      <c r="EL38" s="5"/>
      <c r="EM38" s="5"/>
      <c r="EN38" s="5"/>
      <c r="EO38" s="14"/>
      <c r="EP38" s="14"/>
      <c r="EQ38" s="14"/>
      <c r="ER38" s="5"/>
      <c r="ES38" s="5"/>
      <c r="ET38" s="5"/>
      <c r="EU38" s="14"/>
      <c r="EV38" s="14"/>
      <c r="EW38" s="14"/>
      <c r="EX38" s="5"/>
      <c r="EY38" s="5"/>
      <c r="EZ38" s="5"/>
      <c r="FA38" s="14"/>
      <c r="FB38" s="14"/>
      <c r="FC38" s="14"/>
      <c r="FD38" s="5"/>
      <c r="FE38" s="15"/>
    </row>
    <row r="39" spans="1:16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row>
    <row r="51" spans="23:63" x14ac:dyDescent="0.25">
      <c r="W51" s="135"/>
      <c r="BK51" s="135"/>
    </row>
    <row r="56" spans="23:63" x14ac:dyDescent="0.25">
      <c r="W56" s="135"/>
      <c r="BK56" s="135"/>
    </row>
  </sheetData>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dimension ref="B2:BV75"/>
  <sheetViews>
    <sheetView topLeftCell="J34" zoomScale="70" zoomScaleNormal="70" workbookViewId="0">
      <selection activeCell="J53" sqref="J53"/>
    </sheetView>
  </sheetViews>
  <sheetFormatPr defaultRowHeight="15" x14ac:dyDescent="0.25"/>
  <cols>
    <col min="1" max="1" width="2.7109375" customWidth="1"/>
    <col min="2" max="2" width="19.42578125" bestFit="1" customWidth="1"/>
    <col min="3" max="3" width="2" customWidth="1"/>
    <col min="4" max="4" width="12.7109375" bestFit="1" customWidth="1"/>
    <col min="5" max="5" width="2" customWidth="1"/>
    <col min="6" max="6" width="36.140625" bestFit="1" customWidth="1"/>
    <col min="7" max="7" width="2" customWidth="1"/>
    <col min="8" max="8" width="59.42578125" customWidth="1"/>
    <col min="9" max="9" width="2" customWidth="1"/>
    <col min="10" max="10" width="49.5703125" bestFit="1" customWidth="1"/>
    <col min="11" max="11" width="3" bestFit="1" customWidth="1"/>
    <col min="12" max="25" width="17.7109375" customWidth="1"/>
    <col min="26" max="28" width="20.7109375" customWidth="1"/>
    <col min="29" max="29" width="13.140625" bestFit="1" customWidth="1"/>
    <col min="30" max="30" width="13.140625" customWidth="1"/>
    <col min="31" max="31" width="21" bestFit="1" customWidth="1"/>
    <col min="32" max="32" width="14.42578125" customWidth="1"/>
    <col min="33" max="71" width="4.7109375" customWidth="1"/>
  </cols>
  <sheetData>
    <row r="2" spans="2:74" x14ac:dyDescent="0.25">
      <c r="J2" t="s">
        <v>365</v>
      </c>
      <c r="L2">
        <v>0</v>
      </c>
      <c r="M2">
        <v>6000</v>
      </c>
      <c r="N2">
        <v>7000</v>
      </c>
      <c r="O2">
        <v>8000</v>
      </c>
      <c r="P2">
        <v>11000</v>
      </c>
      <c r="Q2">
        <v>14000</v>
      </c>
      <c r="R2">
        <v>15000</v>
      </c>
      <c r="S2">
        <v>17000</v>
      </c>
      <c r="T2">
        <v>20000</v>
      </c>
      <c r="U2">
        <v>25000</v>
      </c>
      <c r="V2">
        <v>45000</v>
      </c>
      <c r="W2">
        <v>65000</v>
      </c>
      <c r="X2">
        <v>135000</v>
      </c>
      <c r="Y2">
        <v>240000</v>
      </c>
      <c r="Z2">
        <v>760000</v>
      </c>
    </row>
    <row r="3" spans="2:74" x14ac:dyDescent="0.25">
      <c r="B3" s="85" t="s">
        <v>781</v>
      </c>
      <c r="D3" s="86" t="s">
        <v>782</v>
      </c>
      <c r="F3" s="85" t="s">
        <v>1193</v>
      </c>
      <c r="H3" s="85" t="s">
        <v>58</v>
      </c>
      <c r="J3" t="s">
        <v>364</v>
      </c>
      <c r="AA3">
        <v>75</v>
      </c>
      <c r="AB3">
        <v>150</v>
      </c>
      <c r="AC3">
        <v>300</v>
      </c>
      <c r="AD3">
        <v>400</v>
      </c>
      <c r="AE3">
        <v>600</v>
      </c>
      <c r="AI3" t="s">
        <v>9</v>
      </c>
    </row>
    <row r="4" spans="2:74" x14ac:dyDescent="0.25">
      <c r="B4" t="s">
        <v>34</v>
      </c>
      <c r="D4" s="87" t="s">
        <v>80</v>
      </c>
      <c r="F4" t="s">
        <v>39</v>
      </c>
      <c r="H4" t="s">
        <v>855</v>
      </c>
      <c r="J4" t="s">
        <v>338</v>
      </c>
      <c r="K4">
        <v>1</v>
      </c>
      <c r="L4">
        <f t="shared" ref="L4:M4" si="0">IF(L2=0,L3*12000,L2)</f>
        <v>0</v>
      </c>
      <c r="M4">
        <f t="shared" si="0"/>
        <v>6000</v>
      </c>
      <c r="N4">
        <v>7000</v>
      </c>
      <c r="O4">
        <f t="shared" ref="O4:P4" si="1">IF(O2=0,O3*12000,O2)</f>
        <v>8000</v>
      </c>
      <c r="P4">
        <f t="shared" si="1"/>
        <v>11000</v>
      </c>
      <c r="Q4">
        <f t="shared" ref="Q4" si="2">IF(Q2=0,Q3*12000,Q2)</f>
        <v>14000</v>
      </c>
      <c r="R4">
        <v>15000</v>
      </c>
      <c r="S4">
        <f t="shared" ref="S4" si="3">IF(S2=0,S3*12000,S2)</f>
        <v>17000</v>
      </c>
      <c r="T4">
        <f t="shared" ref="T4:V4" si="4">IF(T2=0,T3*12000,T2)</f>
        <v>20000</v>
      </c>
      <c r="U4">
        <f t="shared" si="4"/>
        <v>25000</v>
      </c>
      <c r="V4">
        <f t="shared" si="4"/>
        <v>45000</v>
      </c>
      <c r="W4">
        <f t="shared" ref="W4:AA4" si="5">IF(W2=0,W3*12000,W2)</f>
        <v>65000</v>
      </c>
      <c r="X4">
        <f t="shared" si="5"/>
        <v>135000</v>
      </c>
      <c r="Y4">
        <f t="shared" si="5"/>
        <v>240000</v>
      </c>
      <c r="Z4">
        <f t="shared" si="5"/>
        <v>760000</v>
      </c>
      <c r="AA4">
        <f t="shared" si="5"/>
        <v>900000</v>
      </c>
      <c r="AB4">
        <f>IF(AB2=0,AB3*12000,AB2)</f>
        <v>1800000</v>
      </c>
      <c r="AC4">
        <f t="shared" ref="AC4:AE4" si="6">IF(AC2=0,AC3*12000,AC2)</f>
        <v>3600000</v>
      </c>
      <c r="AD4">
        <f t="shared" si="6"/>
        <v>4800000</v>
      </c>
      <c r="AE4">
        <f t="shared" si="6"/>
        <v>7200000</v>
      </c>
      <c r="AF4" t="s">
        <v>840</v>
      </c>
      <c r="AG4" t="s">
        <v>850</v>
      </c>
      <c r="AH4" t="s">
        <v>38</v>
      </c>
      <c r="AI4" s="76">
        <v>1</v>
      </c>
      <c r="AJ4" s="76">
        <v>2</v>
      </c>
      <c r="AK4" s="76">
        <v>3</v>
      </c>
      <c r="AL4" s="76">
        <v>4</v>
      </c>
      <c r="AM4" s="76">
        <v>5</v>
      </c>
      <c r="AN4" s="76">
        <v>6</v>
      </c>
      <c r="AO4" s="76">
        <v>7</v>
      </c>
      <c r="AP4" s="76">
        <v>8</v>
      </c>
      <c r="AQ4" s="76">
        <v>9</v>
      </c>
      <c r="AR4" s="76">
        <v>10</v>
      </c>
      <c r="AS4" s="76">
        <v>11</v>
      </c>
      <c r="AT4" s="76">
        <v>12</v>
      </c>
      <c r="AU4" s="76">
        <v>13</v>
      </c>
      <c r="AV4" s="76">
        <v>14</v>
      </c>
      <c r="AW4" s="76">
        <v>15</v>
      </c>
      <c r="AX4" s="76">
        <v>16</v>
      </c>
      <c r="AY4" s="76">
        <v>17</v>
      </c>
      <c r="AZ4" s="76">
        <v>18</v>
      </c>
      <c r="BA4" s="76">
        <v>19</v>
      </c>
      <c r="BB4" s="76">
        <v>20</v>
      </c>
      <c r="BC4" s="76">
        <v>21</v>
      </c>
      <c r="BD4" s="76">
        <v>22</v>
      </c>
      <c r="BE4" s="76">
        <v>23</v>
      </c>
      <c r="BF4" s="76">
        <v>24</v>
      </c>
      <c r="BG4" s="76">
        <v>25</v>
      </c>
      <c r="BH4" s="76">
        <v>26</v>
      </c>
      <c r="BI4" s="76">
        <v>27</v>
      </c>
      <c r="BJ4" s="76">
        <v>28</v>
      </c>
      <c r="BK4" s="76">
        <v>29</v>
      </c>
      <c r="BL4" s="76">
        <v>30</v>
      </c>
      <c r="BM4" s="76">
        <v>31</v>
      </c>
      <c r="BN4" s="76">
        <v>32</v>
      </c>
      <c r="BO4" s="76">
        <v>33</v>
      </c>
      <c r="BP4" s="76">
        <v>34</v>
      </c>
      <c r="BQ4" s="76">
        <v>35</v>
      </c>
      <c r="BR4" s="76">
        <v>36</v>
      </c>
      <c r="BS4" s="76">
        <v>37</v>
      </c>
      <c r="BT4" s="76">
        <v>38</v>
      </c>
      <c r="BU4" s="76">
        <v>39</v>
      </c>
      <c r="BV4" s="76">
        <v>40</v>
      </c>
    </row>
    <row r="5" spans="2:74" x14ac:dyDescent="0.25">
      <c r="B5" t="s">
        <v>10</v>
      </c>
      <c r="D5" s="87" t="s">
        <v>1510</v>
      </c>
      <c r="F5" t="s">
        <v>40</v>
      </c>
      <c r="H5" t="s">
        <v>41</v>
      </c>
      <c r="J5" s="85" t="s">
        <v>856</v>
      </c>
      <c r="K5">
        <f>K4+1</f>
        <v>2</v>
      </c>
      <c r="L5" t="s">
        <v>345</v>
      </c>
      <c r="M5" t="s">
        <v>345</v>
      </c>
      <c r="N5" t="s">
        <v>345</v>
      </c>
      <c r="O5" t="s">
        <v>345</v>
      </c>
      <c r="P5" t="s">
        <v>345</v>
      </c>
      <c r="Q5" t="s">
        <v>345</v>
      </c>
      <c r="R5" t="s">
        <v>345</v>
      </c>
      <c r="S5" t="s">
        <v>345</v>
      </c>
      <c r="T5" t="s">
        <v>345</v>
      </c>
      <c r="U5" t="s">
        <v>345</v>
      </c>
      <c r="V5" t="s">
        <v>345</v>
      </c>
      <c r="W5" t="s">
        <v>345</v>
      </c>
      <c r="X5" t="s">
        <v>345</v>
      </c>
      <c r="Y5" t="s">
        <v>345</v>
      </c>
      <c r="Z5" t="s">
        <v>345</v>
      </c>
      <c r="AA5" t="s">
        <v>345</v>
      </c>
      <c r="AB5" t="s">
        <v>351</v>
      </c>
      <c r="AC5" t="s">
        <v>351</v>
      </c>
      <c r="AD5" t="s">
        <v>351</v>
      </c>
      <c r="AE5" t="s">
        <v>351</v>
      </c>
      <c r="AF5">
        <v>25</v>
      </c>
      <c r="AG5" t="s">
        <v>39</v>
      </c>
      <c r="AH5">
        <v>25</v>
      </c>
      <c r="AI5" s="75">
        <v>23.9</v>
      </c>
      <c r="AJ5" s="75">
        <v>22.9</v>
      </c>
      <c r="AK5" s="75">
        <v>21.9</v>
      </c>
      <c r="AL5" s="75">
        <v>20.9</v>
      </c>
      <c r="AM5" s="75">
        <v>19.899999999999999</v>
      </c>
      <c r="AN5" s="75">
        <v>18.899999999999999</v>
      </c>
      <c r="AO5" s="75">
        <v>17.899999999999999</v>
      </c>
      <c r="AP5" s="75">
        <v>16.899999999999999</v>
      </c>
      <c r="AQ5" s="75">
        <v>15.9</v>
      </c>
      <c r="AR5" s="75">
        <v>14.9</v>
      </c>
      <c r="AS5" s="75">
        <v>13.9</v>
      </c>
      <c r="AT5" s="75">
        <v>12.9</v>
      </c>
      <c r="AU5" s="75">
        <v>11.9</v>
      </c>
      <c r="AV5" s="75">
        <v>10.9</v>
      </c>
      <c r="AW5" s="75">
        <v>10.1</v>
      </c>
      <c r="AX5" s="75">
        <v>9.3000000000000007</v>
      </c>
      <c r="AY5" s="75">
        <v>8.6999999999999993</v>
      </c>
      <c r="AZ5" s="75">
        <v>8.1</v>
      </c>
      <c r="BA5" s="75">
        <v>7.5</v>
      </c>
      <c r="BB5" s="75">
        <v>7.1</v>
      </c>
      <c r="BC5" s="75">
        <v>6.6</v>
      </c>
      <c r="BD5" s="75">
        <v>6.3</v>
      </c>
      <c r="BE5" s="75">
        <v>5.9</v>
      </c>
      <c r="BF5" s="75">
        <v>5.6</v>
      </c>
      <c r="BG5" s="75">
        <v>5.4</v>
      </c>
      <c r="BH5" s="75">
        <v>5</v>
      </c>
      <c r="BI5" s="75">
        <v>4</v>
      </c>
      <c r="BJ5" s="75">
        <v>3</v>
      </c>
      <c r="BK5" s="91">
        <v>2</v>
      </c>
      <c r="BL5" s="75">
        <v>1</v>
      </c>
      <c r="BM5" s="79">
        <v>0</v>
      </c>
      <c r="BN5" s="79">
        <v>0</v>
      </c>
      <c r="BO5" s="79">
        <v>0</v>
      </c>
      <c r="BP5" s="79">
        <v>0</v>
      </c>
      <c r="BQ5" s="79">
        <v>0</v>
      </c>
      <c r="BR5" s="79">
        <v>0</v>
      </c>
      <c r="BS5" s="79">
        <v>0</v>
      </c>
      <c r="BT5" s="79">
        <v>0</v>
      </c>
      <c r="BU5" s="79">
        <v>0</v>
      </c>
      <c r="BV5" s="79">
        <v>0</v>
      </c>
    </row>
    <row r="6" spans="2:74" x14ac:dyDescent="0.25">
      <c r="B6" t="s">
        <v>82</v>
      </c>
      <c r="D6" s="87">
        <v>1998</v>
      </c>
      <c r="F6" t="s">
        <v>36</v>
      </c>
      <c r="J6" s="85" t="s">
        <v>858</v>
      </c>
      <c r="K6">
        <f t="shared" ref="K6:K46" si="7">K5+1</f>
        <v>3</v>
      </c>
      <c r="L6" t="s">
        <v>345</v>
      </c>
      <c r="M6" t="s">
        <v>345</v>
      </c>
      <c r="N6" t="s">
        <v>345</v>
      </c>
      <c r="O6" t="s">
        <v>345</v>
      </c>
      <c r="P6" t="s">
        <v>345</v>
      </c>
      <c r="Q6" t="s">
        <v>345</v>
      </c>
      <c r="R6" t="s">
        <v>345</v>
      </c>
      <c r="S6" t="s">
        <v>345</v>
      </c>
      <c r="T6" t="s">
        <v>345</v>
      </c>
      <c r="U6" t="s">
        <v>345</v>
      </c>
      <c r="V6" t="s">
        <v>345</v>
      </c>
      <c r="W6" t="s">
        <v>345</v>
      </c>
      <c r="X6" t="s">
        <v>345</v>
      </c>
      <c r="Y6" t="s">
        <v>345</v>
      </c>
      <c r="Z6" t="s">
        <v>345</v>
      </c>
      <c r="AA6" t="s">
        <v>345</v>
      </c>
      <c r="AB6" t="s">
        <v>351</v>
      </c>
      <c r="AC6" t="s">
        <v>351</v>
      </c>
      <c r="AD6" t="s">
        <v>351</v>
      </c>
      <c r="AE6" t="s">
        <v>351</v>
      </c>
      <c r="AF6">
        <v>20</v>
      </c>
      <c r="AG6" t="s">
        <v>39</v>
      </c>
      <c r="AH6">
        <v>20</v>
      </c>
      <c r="AI6" s="75">
        <v>18.7</v>
      </c>
      <c r="AJ6" s="75">
        <v>17.7</v>
      </c>
      <c r="AK6" s="75">
        <v>16.7</v>
      </c>
      <c r="AL6" s="75">
        <v>15.7</v>
      </c>
      <c r="AM6" s="75">
        <v>14.7</v>
      </c>
      <c r="AN6" s="75">
        <v>13.7</v>
      </c>
      <c r="AO6" s="75">
        <v>12.7</v>
      </c>
      <c r="AP6" s="75">
        <v>11.8</v>
      </c>
      <c r="AQ6" s="75">
        <v>10.9</v>
      </c>
      <c r="AR6" s="75">
        <v>10</v>
      </c>
      <c r="AS6" s="75">
        <v>9.1</v>
      </c>
      <c r="AT6" s="75">
        <v>8.3000000000000007</v>
      </c>
      <c r="AU6" s="75">
        <v>7.5</v>
      </c>
      <c r="AV6" s="75">
        <v>6.8</v>
      </c>
      <c r="AW6" s="75">
        <v>6.2</v>
      </c>
      <c r="AX6" s="75">
        <v>5.5</v>
      </c>
      <c r="AY6" s="75">
        <v>5</v>
      </c>
      <c r="AZ6" s="75">
        <v>4.5</v>
      </c>
      <c r="BA6" s="75">
        <v>4</v>
      </c>
      <c r="BB6" s="75">
        <v>3.6</v>
      </c>
      <c r="BC6" s="75">
        <v>3</v>
      </c>
      <c r="BD6" s="75">
        <v>2</v>
      </c>
      <c r="BE6" s="75">
        <v>1</v>
      </c>
      <c r="BF6" s="79">
        <v>0</v>
      </c>
      <c r="BG6" s="79">
        <v>0</v>
      </c>
      <c r="BH6" s="79">
        <v>0</v>
      </c>
      <c r="BI6" s="79">
        <v>0</v>
      </c>
      <c r="BJ6" s="79">
        <v>0</v>
      </c>
      <c r="BK6" s="79">
        <v>0</v>
      </c>
      <c r="BL6" s="79">
        <v>0</v>
      </c>
      <c r="BM6" s="79">
        <v>0</v>
      </c>
      <c r="BN6" s="79">
        <v>0</v>
      </c>
      <c r="BO6" s="79">
        <v>0</v>
      </c>
      <c r="BP6" s="79">
        <v>0</v>
      </c>
      <c r="BQ6" s="79">
        <v>0</v>
      </c>
      <c r="BR6" s="79">
        <v>0</v>
      </c>
      <c r="BS6" s="79">
        <v>0</v>
      </c>
      <c r="BT6" s="79">
        <v>0</v>
      </c>
      <c r="BU6" s="79">
        <v>0</v>
      </c>
      <c r="BV6" s="79">
        <v>0</v>
      </c>
    </row>
    <row r="7" spans="2:74" x14ac:dyDescent="0.25">
      <c r="D7" s="87">
        <v>1999</v>
      </c>
      <c r="F7" t="s">
        <v>42</v>
      </c>
      <c r="H7" s="251" t="s">
        <v>57</v>
      </c>
      <c r="J7" s="85" t="s">
        <v>366</v>
      </c>
      <c r="K7">
        <f t="shared" si="7"/>
        <v>4</v>
      </c>
      <c r="L7" t="s">
        <v>345</v>
      </c>
      <c r="M7" t="s">
        <v>345</v>
      </c>
      <c r="N7" t="s">
        <v>345</v>
      </c>
      <c r="O7" t="s">
        <v>345</v>
      </c>
      <c r="P7" t="s">
        <v>345</v>
      </c>
      <c r="Q7" t="s">
        <v>345</v>
      </c>
      <c r="R7" t="s">
        <v>345</v>
      </c>
      <c r="S7" t="s">
        <v>345</v>
      </c>
      <c r="T7" t="s">
        <v>345</v>
      </c>
      <c r="U7" t="s">
        <v>345</v>
      </c>
      <c r="V7" t="s">
        <v>345</v>
      </c>
      <c r="W7" t="s">
        <v>345</v>
      </c>
      <c r="X7" t="s">
        <v>345</v>
      </c>
      <c r="Y7" t="s">
        <v>345</v>
      </c>
      <c r="Z7" t="s">
        <v>345</v>
      </c>
      <c r="AA7" t="s">
        <v>345</v>
      </c>
      <c r="AB7" t="s">
        <v>357</v>
      </c>
      <c r="AC7" t="s">
        <v>798</v>
      </c>
      <c r="AD7" t="s">
        <v>799</v>
      </c>
      <c r="AE7" t="s">
        <v>352</v>
      </c>
      <c r="AF7">
        <v>25</v>
      </c>
      <c r="AG7" t="s">
        <v>40</v>
      </c>
      <c r="AH7">
        <v>25</v>
      </c>
      <c r="AI7" s="75">
        <v>23.9</v>
      </c>
      <c r="AJ7" s="75">
        <v>22.9</v>
      </c>
      <c r="AK7" s="75">
        <v>21.9</v>
      </c>
      <c r="AL7" s="75">
        <v>20.9</v>
      </c>
      <c r="AM7" s="75">
        <v>19.899999999999999</v>
      </c>
      <c r="AN7" s="75">
        <v>18.899999999999999</v>
      </c>
      <c r="AO7" s="75">
        <v>17.899999999999999</v>
      </c>
      <c r="AP7" s="75">
        <v>16.899999999999999</v>
      </c>
      <c r="AQ7" s="75">
        <v>15.9</v>
      </c>
      <c r="AR7" s="75">
        <v>14.9</v>
      </c>
      <c r="AS7" s="75">
        <v>13.9</v>
      </c>
      <c r="AT7" s="75">
        <v>12.9</v>
      </c>
      <c r="AU7" s="75">
        <v>11.9</v>
      </c>
      <c r="AV7" s="75">
        <v>10.9</v>
      </c>
      <c r="AW7" s="75">
        <v>10.1</v>
      </c>
      <c r="AX7" s="75">
        <v>9.3000000000000007</v>
      </c>
      <c r="AY7" s="75">
        <v>8.6999999999999993</v>
      </c>
      <c r="AZ7" s="75">
        <v>8.1</v>
      </c>
      <c r="BA7" s="75">
        <v>7.5</v>
      </c>
      <c r="BB7" s="75">
        <v>7.1</v>
      </c>
      <c r="BC7" s="75">
        <v>6.6</v>
      </c>
      <c r="BD7" s="75">
        <v>6.3</v>
      </c>
      <c r="BE7" s="75">
        <v>5.9</v>
      </c>
      <c r="BF7" s="75">
        <v>5.6</v>
      </c>
      <c r="BG7" s="75">
        <v>5.4</v>
      </c>
      <c r="BH7" s="75">
        <v>5</v>
      </c>
      <c r="BI7" s="75">
        <v>4</v>
      </c>
      <c r="BJ7" s="75">
        <v>3</v>
      </c>
      <c r="BK7" s="91">
        <v>2</v>
      </c>
      <c r="BL7" s="75">
        <v>1</v>
      </c>
      <c r="BM7" s="79">
        <v>0</v>
      </c>
      <c r="BN7" s="79">
        <v>0</v>
      </c>
      <c r="BO7" s="79">
        <v>0</v>
      </c>
      <c r="BP7" s="79">
        <v>0</v>
      </c>
      <c r="BQ7" s="79">
        <v>0</v>
      </c>
      <c r="BR7" s="79">
        <v>0</v>
      </c>
      <c r="BS7" s="79">
        <v>0</v>
      </c>
      <c r="BT7" s="79">
        <v>0</v>
      </c>
      <c r="BU7" s="79">
        <v>0</v>
      </c>
      <c r="BV7" s="79">
        <v>0</v>
      </c>
    </row>
    <row r="8" spans="2:74" x14ac:dyDescent="0.25">
      <c r="D8" s="87">
        <v>2000</v>
      </c>
      <c r="F8" t="s">
        <v>371</v>
      </c>
      <c r="H8" t="s">
        <v>855</v>
      </c>
      <c r="J8" s="85" t="s">
        <v>859</v>
      </c>
      <c r="K8">
        <f t="shared" si="7"/>
        <v>5</v>
      </c>
      <c r="L8" t="s">
        <v>346</v>
      </c>
      <c r="M8" t="s">
        <v>346</v>
      </c>
      <c r="N8" t="s">
        <v>346</v>
      </c>
      <c r="O8" t="s">
        <v>346</v>
      </c>
      <c r="P8" t="s">
        <v>346</v>
      </c>
      <c r="Q8" t="s">
        <v>346</v>
      </c>
      <c r="R8" t="s">
        <v>346</v>
      </c>
      <c r="S8" t="s">
        <v>346</v>
      </c>
      <c r="T8" t="s">
        <v>346</v>
      </c>
      <c r="U8" t="s">
        <v>346</v>
      </c>
      <c r="V8" t="s">
        <v>346</v>
      </c>
      <c r="W8" t="s">
        <v>346</v>
      </c>
      <c r="X8" t="s">
        <v>346</v>
      </c>
      <c r="Y8" t="s">
        <v>346</v>
      </c>
      <c r="Z8" t="s">
        <v>346</v>
      </c>
      <c r="AA8" t="s">
        <v>358</v>
      </c>
      <c r="AB8" t="s">
        <v>357</v>
      </c>
      <c r="AC8" t="s">
        <v>813</v>
      </c>
      <c r="AD8" t="s">
        <v>813</v>
      </c>
      <c r="AE8" t="s">
        <v>352</v>
      </c>
      <c r="AF8">
        <v>20</v>
      </c>
      <c r="AG8" t="s">
        <v>40</v>
      </c>
      <c r="AH8">
        <v>20</v>
      </c>
      <c r="AI8" s="75">
        <v>18.7</v>
      </c>
      <c r="AJ8" s="75">
        <v>17.7</v>
      </c>
      <c r="AK8" s="75">
        <v>16.7</v>
      </c>
      <c r="AL8" s="75">
        <v>15.7</v>
      </c>
      <c r="AM8" s="75">
        <v>14.7</v>
      </c>
      <c r="AN8" s="75">
        <v>13.7</v>
      </c>
      <c r="AO8" s="75">
        <v>12.7</v>
      </c>
      <c r="AP8" s="75">
        <v>11.8</v>
      </c>
      <c r="AQ8" s="75">
        <v>10.9</v>
      </c>
      <c r="AR8" s="75">
        <v>10</v>
      </c>
      <c r="AS8" s="75">
        <v>9.1</v>
      </c>
      <c r="AT8" s="75">
        <v>8.3000000000000007</v>
      </c>
      <c r="AU8" s="75">
        <v>7.5</v>
      </c>
      <c r="AV8" s="75">
        <v>6.8</v>
      </c>
      <c r="AW8" s="75">
        <v>6.2</v>
      </c>
      <c r="AX8" s="75">
        <v>5.5</v>
      </c>
      <c r="AY8" s="75">
        <v>5</v>
      </c>
      <c r="AZ8" s="75">
        <v>4.5</v>
      </c>
      <c r="BA8" s="75">
        <v>4</v>
      </c>
      <c r="BB8" s="75">
        <v>3.6</v>
      </c>
      <c r="BC8" s="75">
        <v>3</v>
      </c>
      <c r="BD8" s="75">
        <v>2</v>
      </c>
      <c r="BE8" s="75">
        <v>1</v>
      </c>
      <c r="BF8" s="79">
        <v>0</v>
      </c>
      <c r="BG8" s="79">
        <v>0</v>
      </c>
      <c r="BH8" s="79">
        <v>0</v>
      </c>
      <c r="BI8" s="79">
        <v>0</v>
      </c>
      <c r="BJ8" s="79">
        <v>0</v>
      </c>
      <c r="BK8" s="79">
        <v>0</v>
      </c>
      <c r="BL8" s="79">
        <v>0</v>
      </c>
      <c r="BM8" s="79">
        <v>0</v>
      </c>
      <c r="BN8" s="79">
        <v>0</v>
      </c>
      <c r="BO8" s="79">
        <v>0</v>
      </c>
      <c r="BP8" s="79">
        <v>0</v>
      </c>
      <c r="BQ8" s="79">
        <v>0</v>
      </c>
      <c r="BR8" s="79">
        <v>0</v>
      </c>
      <c r="BS8" s="79">
        <v>0</v>
      </c>
      <c r="BT8" s="79">
        <v>0</v>
      </c>
      <c r="BU8" s="79">
        <v>0</v>
      </c>
      <c r="BV8" s="79">
        <v>0</v>
      </c>
    </row>
    <row r="9" spans="2:74" x14ac:dyDescent="0.25">
      <c r="D9" s="87">
        <v>2001</v>
      </c>
      <c r="F9" t="s">
        <v>372</v>
      </c>
      <c r="H9" t="s">
        <v>41</v>
      </c>
      <c r="J9" s="85" t="s">
        <v>60</v>
      </c>
      <c r="K9">
        <f t="shared" si="7"/>
        <v>6</v>
      </c>
      <c r="L9" t="s">
        <v>1420</v>
      </c>
      <c r="M9" t="s">
        <v>1420</v>
      </c>
      <c r="N9" t="s">
        <v>1420</v>
      </c>
      <c r="O9" t="s">
        <v>1420</v>
      </c>
      <c r="P9" t="s">
        <v>1420</v>
      </c>
      <c r="Q9" t="s">
        <v>1420</v>
      </c>
      <c r="R9" t="s">
        <v>1420</v>
      </c>
      <c r="S9" t="s">
        <v>1420</v>
      </c>
      <c r="T9" t="s">
        <v>1420</v>
      </c>
      <c r="U9" t="s">
        <v>1420</v>
      </c>
      <c r="V9" t="s">
        <v>1421</v>
      </c>
      <c r="W9" t="s">
        <v>359</v>
      </c>
      <c r="X9" t="s">
        <v>360</v>
      </c>
      <c r="Y9" t="s">
        <v>361</v>
      </c>
      <c r="Z9" t="s">
        <v>353</v>
      </c>
      <c r="AA9" t="s">
        <v>353</v>
      </c>
      <c r="AB9" t="s">
        <v>353</v>
      </c>
      <c r="AC9" t="s">
        <v>353</v>
      </c>
      <c r="AD9" t="s">
        <v>353</v>
      </c>
      <c r="AE9" t="s">
        <v>353</v>
      </c>
      <c r="AF9">
        <v>15</v>
      </c>
      <c r="AG9" t="s">
        <v>713</v>
      </c>
      <c r="AH9">
        <v>15</v>
      </c>
      <c r="AI9" s="77">
        <v>14</v>
      </c>
      <c r="AJ9" s="77">
        <v>13</v>
      </c>
      <c r="AK9" s="77">
        <v>12</v>
      </c>
      <c r="AL9" s="77">
        <v>11</v>
      </c>
      <c r="AM9" s="77">
        <v>10</v>
      </c>
      <c r="AN9" s="77">
        <v>9.1</v>
      </c>
      <c r="AO9" s="77">
        <v>8.1999999999999993</v>
      </c>
      <c r="AP9" s="77">
        <v>7.3</v>
      </c>
      <c r="AQ9" s="77">
        <v>6.5</v>
      </c>
      <c r="AR9" s="77">
        <v>5.7</v>
      </c>
      <c r="AS9" s="77">
        <v>5</v>
      </c>
      <c r="AT9" s="77">
        <v>4.4000000000000004</v>
      </c>
      <c r="AU9" s="77">
        <v>3.8</v>
      </c>
      <c r="AV9" s="77">
        <v>3.3</v>
      </c>
      <c r="AW9" s="77">
        <v>2.8</v>
      </c>
      <c r="AX9" s="77">
        <v>2</v>
      </c>
      <c r="AY9" s="77">
        <v>1</v>
      </c>
      <c r="AZ9" s="78">
        <v>0</v>
      </c>
      <c r="BA9" s="78">
        <v>0</v>
      </c>
      <c r="BB9" s="78">
        <v>0</v>
      </c>
      <c r="BC9" s="78">
        <v>0</v>
      </c>
      <c r="BD9" s="78">
        <v>0</v>
      </c>
      <c r="BE9" s="78">
        <v>0</v>
      </c>
      <c r="BF9" s="79">
        <v>0</v>
      </c>
      <c r="BG9" s="79">
        <v>0</v>
      </c>
      <c r="BH9" s="79">
        <v>0</v>
      </c>
      <c r="BI9" s="79">
        <v>0</v>
      </c>
      <c r="BJ9" s="79">
        <v>0</v>
      </c>
      <c r="BK9" s="79">
        <v>0</v>
      </c>
      <c r="BL9" s="79">
        <v>0</v>
      </c>
      <c r="BM9" s="79">
        <v>0</v>
      </c>
      <c r="BN9" s="79">
        <v>0</v>
      </c>
      <c r="BO9" s="79">
        <v>0</v>
      </c>
      <c r="BP9" s="79">
        <v>0</v>
      </c>
      <c r="BQ9" s="79">
        <v>0</v>
      </c>
      <c r="BR9" s="79">
        <v>0</v>
      </c>
      <c r="BS9" s="79">
        <v>0</v>
      </c>
      <c r="BT9" s="79">
        <v>0</v>
      </c>
      <c r="BU9" s="79">
        <v>0</v>
      </c>
      <c r="BV9" s="79">
        <v>0</v>
      </c>
    </row>
    <row r="10" spans="2:74" x14ac:dyDescent="0.25">
      <c r="D10" s="87">
        <v>2002</v>
      </c>
      <c r="F10" t="s">
        <v>43</v>
      </c>
      <c r="J10" s="85" t="s">
        <v>1058</v>
      </c>
      <c r="K10">
        <f t="shared" si="7"/>
        <v>7</v>
      </c>
      <c r="L10" t="s">
        <v>1420</v>
      </c>
      <c r="M10" t="s">
        <v>1420</v>
      </c>
      <c r="N10" t="s">
        <v>1420</v>
      </c>
      <c r="O10" t="s">
        <v>1420</v>
      </c>
      <c r="P10" t="s">
        <v>1420</v>
      </c>
      <c r="Q10" t="s">
        <v>1420</v>
      </c>
      <c r="R10" t="s">
        <v>1420</v>
      </c>
      <c r="S10" t="s">
        <v>1420</v>
      </c>
      <c r="T10" t="s">
        <v>1420</v>
      </c>
      <c r="U10" t="s">
        <v>1420</v>
      </c>
      <c r="V10" t="s">
        <v>1421</v>
      </c>
      <c r="W10" t="s">
        <v>359</v>
      </c>
      <c r="X10" t="s">
        <v>360</v>
      </c>
      <c r="Y10" t="s">
        <v>361</v>
      </c>
      <c r="Z10" t="s">
        <v>353</v>
      </c>
      <c r="AA10" t="s">
        <v>353</v>
      </c>
      <c r="AB10" t="s">
        <v>353</v>
      </c>
      <c r="AC10" t="s">
        <v>353</v>
      </c>
      <c r="AD10" t="s">
        <v>353</v>
      </c>
      <c r="AE10" t="s">
        <v>353</v>
      </c>
      <c r="AF10">
        <v>15</v>
      </c>
      <c r="AG10" t="s">
        <v>713</v>
      </c>
      <c r="AH10">
        <v>15</v>
      </c>
      <c r="AI10" s="77">
        <v>14</v>
      </c>
      <c r="AJ10" s="77">
        <v>13</v>
      </c>
      <c r="AK10" s="77">
        <v>12</v>
      </c>
      <c r="AL10" s="77">
        <v>11</v>
      </c>
      <c r="AM10" s="77">
        <v>10</v>
      </c>
      <c r="AN10" s="77">
        <v>9.1</v>
      </c>
      <c r="AO10" s="77">
        <v>8.1999999999999993</v>
      </c>
      <c r="AP10" s="77">
        <v>7.3</v>
      </c>
      <c r="AQ10" s="77">
        <v>6.5</v>
      </c>
      <c r="AR10" s="77">
        <v>5.7</v>
      </c>
      <c r="AS10" s="77">
        <v>5</v>
      </c>
      <c r="AT10" s="77">
        <v>4.4000000000000004</v>
      </c>
      <c r="AU10" s="77">
        <v>3.8</v>
      </c>
      <c r="AV10" s="77">
        <v>3.3</v>
      </c>
      <c r="AW10" s="77">
        <v>2.8</v>
      </c>
      <c r="AX10" s="77">
        <v>2</v>
      </c>
      <c r="AY10" s="77">
        <v>1</v>
      </c>
      <c r="AZ10" s="78">
        <v>0</v>
      </c>
      <c r="BA10" s="78">
        <v>0</v>
      </c>
      <c r="BB10" s="78">
        <v>0</v>
      </c>
      <c r="BC10" s="78">
        <v>0</v>
      </c>
      <c r="BD10" s="78">
        <v>0</v>
      </c>
      <c r="BE10" s="78">
        <v>0</v>
      </c>
      <c r="BF10" s="79">
        <v>0</v>
      </c>
      <c r="BG10" s="79">
        <v>0</v>
      </c>
      <c r="BH10" s="79">
        <v>0</v>
      </c>
      <c r="BI10" s="79">
        <v>0</v>
      </c>
      <c r="BJ10" s="79">
        <v>0</v>
      </c>
      <c r="BK10" s="79">
        <v>0</v>
      </c>
      <c r="BL10" s="79">
        <v>0</v>
      </c>
      <c r="BM10" s="79">
        <v>0</v>
      </c>
      <c r="BN10" s="79">
        <v>0</v>
      </c>
      <c r="BO10" s="79">
        <v>0</v>
      </c>
      <c r="BP10" s="79">
        <v>0</v>
      </c>
      <c r="BQ10" s="79">
        <v>0</v>
      </c>
      <c r="BR10" s="79">
        <v>0</v>
      </c>
      <c r="BS10" s="79">
        <v>0</v>
      </c>
      <c r="BT10" s="79">
        <v>0</v>
      </c>
      <c r="BU10" s="79">
        <v>0</v>
      </c>
      <c r="BV10" s="79">
        <v>0</v>
      </c>
    </row>
    <row r="11" spans="2:74" x14ac:dyDescent="0.25">
      <c r="D11" s="87">
        <v>2003</v>
      </c>
      <c r="F11" t="s">
        <v>333</v>
      </c>
      <c r="H11" s="85" t="s">
        <v>62</v>
      </c>
      <c r="J11" s="85" t="s">
        <v>1059</v>
      </c>
      <c r="K11">
        <f t="shared" si="7"/>
        <v>8</v>
      </c>
      <c r="L11" t="s">
        <v>1420</v>
      </c>
      <c r="M11" t="s">
        <v>1420</v>
      </c>
      <c r="N11" t="s">
        <v>1420</v>
      </c>
      <c r="O11" t="s">
        <v>1420</v>
      </c>
      <c r="P11" t="s">
        <v>1420</v>
      </c>
      <c r="Q11" t="s">
        <v>1420</v>
      </c>
      <c r="R11" t="s">
        <v>1420</v>
      </c>
      <c r="S11" t="s">
        <v>1420</v>
      </c>
      <c r="T11" t="s">
        <v>1420</v>
      </c>
      <c r="U11" t="s">
        <v>1420</v>
      </c>
      <c r="V11" t="s">
        <v>1421</v>
      </c>
      <c r="W11" t="s">
        <v>359</v>
      </c>
      <c r="X11" t="s">
        <v>360</v>
      </c>
      <c r="Y11" t="s">
        <v>361</v>
      </c>
      <c r="Z11" t="s">
        <v>353</v>
      </c>
      <c r="AA11" t="s">
        <v>353</v>
      </c>
      <c r="AB11" t="s">
        <v>353</v>
      </c>
      <c r="AC11" t="s">
        <v>353</v>
      </c>
      <c r="AD11" t="s">
        <v>353</v>
      </c>
      <c r="AE11" t="s">
        <v>353</v>
      </c>
      <c r="AF11">
        <v>15</v>
      </c>
      <c r="AG11" t="s">
        <v>713</v>
      </c>
      <c r="AH11">
        <v>15</v>
      </c>
      <c r="AI11" s="77">
        <v>14</v>
      </c>
      <c r="AJ11" s="77">
        <v>13</v>
      </c>
      <c r="AK11" s="77">
        <v>12</v>
      </c>
      <c r="AL11" s="77">
        <v>11</v>
      </c>
      <c r="AM11" s="77">
        <v>10</v>
      </c>
      <c r="AN11" s="77">
        <v>9.1</v>
      </c>
      <c r="AO11" s="77">
        <v>8.1999999999999993</v>
      </c>
      <c r="AP11" s="77">
        <v>7.3</v>
      </c>
      <c r="AQ11" s="77">
        <v>6.5</v>
      </c>
      <c r="AR11" s="77">
        <v>5.7</v>
      </c>
      <c r="AS11" s="77">
        <v>5</v>
      </c>
      <c r="AT11" s="77">
        <v>4.4000000000000004</v>
      </c>
      <c r="AU11" s="77">
        <v>3.8</v>
      </c>
      <c r="AV11" s="77">
        <v>3.3</v>
      </c>
      <c r="AW11" s="77">
        <v>2.8</v>
      </c>
      <c r="AX11" s="77">
        <v>2</v>
      </c>
      <c r="AY11" s="77">
        <v>1</v>
      </c>
      <c r="AZ11" s="78">
        <v>0</v>
      </c>
      <c r="BA11" s="78">
        <v>0</v>
      </c>
      <c r="BB11" s="78">
        <v>0</v>
      </c>
      <c r="BC11" s="78">
        <v>0</v>
      </c>
      <c r="BD11" s="78">
        <v>0</v>
      </c>
      <c r="BE11" s="78">
        <v>0</v>
      </c>
      <c r="BF11" s="79">
        <v>0</v>
      </c>
      <c r="BG11" s="79">
        <v>0</v>
      </c>
      <c r="BH11" s="79">
        <v>0</v>
      </c>
      <c r="BI11" s="79">
        <v>0</v>
      </c>
      <c r="BJ11" s="79">
        <v>0</v>
      </c>
      <c r="BK11" s="79">
        <v>0</v>
      </c>
      <c r="BL11" s="79">
        <v>0</v>
      </c>
      <c r="BM11" s="79">
        <v>0</v>
      </c>
      <c r="BN11" s="79">
        <v>0</v>
      </c>
      <c r="BO11" s="79">
        <v>0</v>
      </c>
      <c r="BP11" s="79">
        <v>0</v>
      </c>
      <c r="BQ11" s="79">
        <v>0</v>
      </c>
      <c r="BR11" s="79">
        <v>0</v>
      </c>
      <c r="BS11" s="79">
        <v>0</v>
      </c>
      <c r="BT11" s="79">
        <v>0</v>
      </c>
      <c r="BU11" s="79">
        <v>0</v>
      </c>
      <c r="BV11" s="79">
        <v>0</v>
      </c>
    </row>
    <row r="12" spans="2:74" x14ac:dyDescent="0.25">
      <c r="D12" s="87">
        <v>2004</v>
      </c>
      <c r="F12" t="s">
        <v>334</v>
      </c>
      <c r="H12" t="s">
        <v>1099</v>
      </c>
      <c r="J12" s="85" t="s">
        <v>61</v>
      </c>
      <c r="K12">
        <f t="shared" si="7"/>
        <v>9</v>
      </c>
      <c r="L12" t="s">
        <v>1420</v>
      </c>
      <c r="M12" t="s">
        <v>1420</v>
      </c>
      <c r="N12" t="s">
        <v>1420</v>
      </c>
      <c r="O12" t="s">
        <v>1420</v>
      </c>
      <c r="P12" t="s">
        <v>1420</v>
      </c>
      <c r="Q12" t="s">
        <v>1420</v>
      </c>
      <c r="R12" t="s">
        <v>1420</v>
      </c>
      <c r="S12" t="s">
        <v>1420</v>
      </c>
      <c r="T12" t="s">
        <v>1420</v>
      </c>
      <c r="U12" t="s">
        <v>1420</v>
      </c>
      <c r="V12" t="s">
        <v>1421</v>
      </c>
      <c r="W12" t="s">
        <v>359</v>
      </c>
      <c r="X12" t="s">
        <v>360</v>
      </c>
      <c r="Y12" t="s">
        <v>361</v>
      </c>
      <c r="Z12" t="s">
        <v>353</v>
      </c>
      <c r="AA12" t="s">
        <v>353</v>
      </c>
      <c r="AB12" t="s">
        <v>353</v>
      </c>
      <c r="AC12" t="s">
        <v>353</v>
      </c>
      <c r="AD12" t="s">
        <v>353</v>
      </c>
      <c r="AE12" t="s">
        <v>353</v>
      </c>
      <c r="AF12">
        <v>15</v>
      </c>
      <c r="AG12" t="s">
        <v>713</v>
      </c>
      <c r="AH12">
        <v>15</v>
      </c>
      <c r="AI12" s="77">
        <v>14</v>
      </c>
      <c r="AJ12" s="77">
        <v>13</v>
      </c>
      <c r="AK12" s="77">
        <v>12</v>
      </c>
      <c r="AL12" s="77">
        <v>11</v>
      </c>
      <c r="AM12" s="77">
        <v>10</v>
      </c>
      <c r="AN12" s="77">
        <v>9.1</v>
      </c>
      <c r="AO12" s="77">
        <v>8.1999999999999993</v>
      </c>
      <c r="AP12" s="77">
        <v>7.3</v>
      </c>
      <c r="AQ12" s="77">
        <v>6.5</v>
      </c>
      <c r="AR12" s="77">
        <v>5.7</v>
      </c>
      <c r="AS12" s="77">
        <v>5</v>
      </c>
      <c r="AT12" s="77">
        <v>4.4000000000000004</v>
      </c>
      <c r="AU12" s="77">
        <v>3.8</v>
      </c>
      <c r="AV12" s="77">
        <v>3.3</v>
      </c>
      <c r="AW12" s="77">
        <v>2.8</v>
      </c>
      <c r="AX12" s="77">
        <v>2</v>
      </c>
      <c r="AY12" s="77">
        <v>1</v>
      </c>
      <c r="AZ12" s="78">
        <v>0</v>
      </c>
      <c r="BA12" s="78">
        <v>0</v>
      </c>
      <c r="BB12" s="78">
        <v>0</v>
      </c>
      <c r="BC12" s="78">
        <v>0</v>
      </c>
      <c r="BD12" s="78">
        <v>0</v>
      </c>
      <c r="BE12" s="78">
        <v>0</v>
      </c>
      <c r="BF12" s="79">
        <v>0</v>
      </c>
      <c r="BG12" s="79">
        <v>0</v>
      </c>
      <c r="BH12" s="79">
        <v>0</v>
      </c>
      <c r="BI12" s="79">
        <v>0</v>
      </c>
      <c r="BJ12" s="79">
        <v>0</v>
      </c>
      <c r="BK12" s="79">
        <v>0</v>
      </c>
      <c r="BL12" s="79">
        <v>0</v>
      </c>
      <c r="BM12" s="79">
        <v>0</v>
      </c>
      <c r="BN12" s="79">
        <v>0</v>
      </c>
      <c r="BO12" s="79">
        <v>0</v>
      </c>
      <c r="BP12" s="79">
        <v>0</v>
      </c>
      <c r="BQ12" s="79">
        <v>0</v>
      </c>
      <c r="BR12" s="79">
        <v>0</v>
      </c>
      <c r="BS12" s="79">
        <v>0</v>
      </c>
      <c r="BT12" s="79">
        <v>0</v>
      </c>
      <c r="BU12" s="79">
        <v>0</v>
      </c>
      <c r="BV12" s="79">
        <v>0</v>
      </c>
    </row>
    <row r="13" spans="2:74" x14ac:dyDescent="0.25">
      <c r="D13" s="87">
        <v>2005</v>
      </c>
      <c r="F13" t="s">
        <v>49</v>
      </c>
      <c r="H13" t="s">
        <v>1100</v>
      </c>
      <c r="J13" s="85" t="s">
        <v>779</v>
      </c>
      <c r="K13">
        <f t="shared" si="7"/>
        <v>10</v>
      </c>
      <c r="L13" t="s">
        <v>1420</v>
      </c>
      <c r="M13" t="s">
        <v>1420</v>
      </c>
      <c r="N13" t="s">
        <v>1420</v>
      </c>
      <c r="O13" t="s">
        <v>1420</v>
      </c>
      <c r="P13" t="s">
        <v>1420</v>
      </c>
      <c r="Q13" t="s">
        <v>1420</v>
      </c>
      <c r="R13" t="s">
        <v>1420</v>
      </c>
      <c r="S13" t="s">
        <v>1420</v>
      </c>
      <c r="T13" t="s">
        <v>1420</v>
      </c>
      <c r="U13" t="s">
        <v>1420</v>
      </c>
      <c r="V13" t="s">
        <v>1421</v>
      </c>
      <c r="W13" t="s">
        <v>359</v>
      </c>
      <c r="X13" t="s">
        <v>360</v>
      </c>
      <c r="Y13" t="s">
        <v>354</v>
      </c>
      <c r="Z13" t="s">
        <v>354</v>
      </c>
      <c r="AA13" t="s">
        <v>354</v>
      </c>
      <c r="AB13" t="s">
        <v>354</v>
      </c>
      <c r="AC13" t="s">
        <v>354</v>
      </c>
      <c r="AD13" t="s">
        <v>354</v>
      </c>
      <c r="AE13" t="s">
        <v>354</v>
      </c>
      <c r="AF13">
        <v>15</v>
      </c>
      <c r="AG13" t="s">
        <v>713</v>
      </c>
      <c r="AH13">
        <v>15</v>
      </c>
      <c r="AI13" s="77">
        <v>14</v>
      </c>
      <c r="AJ13" s="77">
        <v>13</v>
      </c>
      <c r="AK13" s="77">
        <v>12</v>
      </c>
      <c r="AL13" s="77">
        <v>11</v>
      </c>
      <c r="AM13" s="77">
        <v>10</v>
      </c>
      <c r="AN13" s="77">
        <v>9.1</v>
      </c>
      <c r="AO13" s="77">
        <v>8.1999999999999993</v>
      </c>
      <c r="AP13" s="77">
        <v>7.3</v>
      </c>
      <c r="AQ13" s="77">
        <v>6.5</v>
      </c>
      <c r="AR13" s="77">
        <v>5.7</v>
      </c>
      <c r="AS13" s="77">
        <v>5</v>
      </c>
      <c r="AT13" s="77">
        <v>4.4000000000000004</v>
      </c>
      <c r="AU13" s="77">
        <v>3.8</v>
      </c>
      <c r="AV13" s="77">
        <v>3.3</v>
      </c>
      <c r="AW13" s="77">
        <v>2.8</v>
      </c>
      <c r="AX13" s="77">
        <v>2</v>
      </c>
      <c r="AY13" s="77">
        <v>1</v>
      </c>
      <c r="AZ13" s="78">
        <v>0</v>
      </c>
      <c r="BA13" s="78">
        <v>0</v>
      </c>
      <c r="BB13" s="78">
        <v>0</v>
      </c>
      <c r="BC13" s="78">
        <v>0</v>
      </c>
      <c r="BD13" s="78">
        <v>0</v>
      </c>
      <c r="BE13" s="78">
        <v>0</v>
      </c>
      <c r="BF13" s="79">
        <v>0</v>
      </c>
      <c r="BG13" s="79">
        <v>0</v>
      </c>
      <c r="BH13" s="79">
        <v>0</v>
      </c>
      <c r="BI13" s="79">
        <v>0</v>
      </c>
      <c r="BJ13" s="79">
        <v>0</v>
      </c>
      <c r="BK13" s="79">
        <v>0</v>
      </c>
      <c r="BL13" s="79">
        <v>0</v>
      </c>
      <c r="BM13" s="79">
        <v>0</v>
      </c>
      <c r="BN13" s="79">
        <v>0</v>
      </c>
      <c r="BO13" s="79">
        <v>0</v>
      </c>
      <c r="BP13" s="79">
        <v>0</v>
      </c>
      <c r="BQ13" s="79">
        <v>0</v>
      </c>
      <c r="BR13" s="79">
        <v>0</v>
      </c>
      <c r="BS13" s="79">
        <v>0</v>
      </c>
      <c r="BT13" s="79">
        <v>0</v>
      </c>
      <c r="BU13" s="79">
        <v>0</v>
      </c>
      <c r="BV13" s="79">
        <v>0</v>
      </c>
    </row>
    <row r="14" spans="2:74" x14ac:dyDescent="0.25">
      <c r="D14" s="87">
        <v>2006</v>
      </c>
      <c r="F14" t="s">
        <v>50</v>
      </c>
      <c r="H14" t="s">
        <v>1101</v>
      </c>
      <c r="J14" s="85" t="s">
        <v>780</v>
      </c>
      <c r="K14">
        <f t="shared" si="7"/>
        <v>11</v>
      </c>
      <c r="L14" t="s">
        <v>1420</v>
      </c>
      <c r="M14" t="s">
        <v>1420</v>
      </c>
      <c r="N14" t="s">
        <v>1420</v>
      </c>
      <c r="O14" t="s">
        <v>1420</v>
      </c>
      <c r="P14" t="s">
        <v>1420</v>
      </c>
      <c r="Q14" t="s">
        <v>1420</v>
      </c>
      <c r="R14" t="s">
        <v>1420</v>
      </c>
      <c r="S14" t="s">
        <v>1420</v>
      </c>
      <c r="T14" t="s">
        <v>1420</v>
      </c>
      <c r="U14" t="s">
        <v>1420</v>
      </c>
      <c r="V14" t="s">
        <v>1421</v>
      </c>
      <c r="W14" t="s">
        <v>359</v>
      </c>
      <c r="X14" t="s">
        <v>360</v>
      </c>
      <c r="Y14" t="s">
        <v>354</v>
      </c>
      <c r="Z14" t="s">
        <v>354</v>
      </c>
      <c r="AA14" t="s">
        <v>354</v>
      </c>
      <c r="AB14" t="s">
        <v>354</v>
      </c>
      <c r="AC14" t="s">
        <v>354</v>
      </c>
      <c r="AD14" t="s">
        <v>354</v>
      </c>
      <c r="AE14" t="s">
        <v>354</v>
      </c>
      <c r="AF14">
        <v>15</v>
      </c>
      <c r="AG14" t="s">
        <v>713</v>
      </c>
      <c r="AH14">
        <v>15</v>
      </c>
      <c r="AI14" s="77">
        <v>14</v>
      </c>
      <c r="AJ14" s="77">
        <v>13</v>
      </c>
      <c r="AK14" s="77">
        <v>12</v>
      </c>
      <c r="AL14" s="77">
        <v>11</v>
      </c>
      <c r="AM14" s="77">
        <v>10</v>
      </c>
      <c r="AN14" s="77">
        <v>9.1</v>
      </c>
      <c r="AO14" s="77">
        <v>8.1999999999999993</v>
      </c>
      <c r="AP14" s="77">
        <v>7.3</v>
      </c>
      <c r="AQ14" s="77">
        <v>6.5</v>
      </c>
      <c r="AR14" s="77">
        <v>5.7</v>
      </c>
      <c r="AS14" s="77">
        <v>5</v>
      </c>
      <c r="AT14" s="77">
        <v>4.4000000000000004</v>
      </c>
      <c r="AU14" s="77">
        <v>3.8</v>
      </c>
      <c r="AV14" s="77">
        <v>3.3</v>
      </c>
      <c r="AW14" s="77">
        <v>2.8</v>
      </c>
      <c r="AX14" s="77">
        <v>2</v>
      </c>
      <c r="AY14" s="77">
        <v>1</v>
      </c>
      <c r="AZ14" s="78">
        <v>0</v>
      </c>
      <c r="BA14" s="78">
        <v>0</v>
      </c>
      <c r="BB14" s="78">
        <v>0</v>
      </c>
      <c r="BC14" s="78">
        <v>0</v>
      </c>
      <c r="BD14" s="78">
        <v>0</v>
      </c>
      <c r="BE14" s="78">
        <v>0</v>
      </c>
      <c r="BF14" s="79">
        <v>0</v>
      </c>
      <c r="BG14" s="79">
        <v>0</v>
      </c>
      <c r="BH14" s="79">
        <v>0</v>
      </c>
      <c r="BI14" s="79">
        <v>0</v>
      </c>
      <c r="BJ14" s="79">
        <v>0</v>
      </c>
      <c r="BK14" s="79">
        <v>0</v>
      </c>
      <c r="BL14" s="79">
        <v>0</v>
      </c>
      <c r="BM14" s="79">
        <v>0</v>
      </c>
      <c r="BN14" s="79">
        <v>0</v>
      </c>
      <c r="BO14" s="79">
        <v>0</v>
      </c>
      <c r="BP14" s="79">
        <v>0</v>
      </c>
      <c r="BQ14" s="79">
        <v>0</v>
      </c>
      <c r="BR14" s="79">
        <v>0</v>
      </c>
      <c r="BS14" s="79">
        <v>0</v>
      </c>
      <c r="BT14" s="79">
        <v>0</v>
      </c>
      <c r="BU14" s="79">
        <v>0</v>
      </c>
      <c r="BV14" s="79">
        <v>0</v>
      </c>
    </row>
    <row r="15" spans="2:74" x14ac:dyDescent="0.25">
      <c r="D15" s="87">
        <v>2007</v>
      </c>
      <c r="H15" t="s">
        <v>1102</v>
      </c>
      <c r="J15" s="85" t="s">
        <v>1103</v>
      </c>
      <c r="K15">
        <f t="shared" si="7"/>
        <v>12</v>
      </c>
      <c r="L15" t="s">
        <v>1112</v>
      </c>
      <c r="M15" t="s">
        <v>1112</v>
      </c>
      <c r="N15" t="s">
        <v>1112</v>
      </c>
      <c r="O15" t="s">
        <v>362</v>
      </c>
      <c r="P15" t="s">
        <v>362</v>
      </c>
      <c r="Q15" t="s">
        <v>363</v>
      </c>
      <c r="R15" t="s">
        <v>363</v>
      </c>
      <c r="S15" t="s">
        <v>363</v>
      </c>
      <c r="T15" t="s">
        <v>1098</v>
      </c>
      <c r="U15" t="s">
        <v>1097</v>
      </c>
      <c r="V15" t="s">
        <v>1097</v>
      </c>
      <c r="AF15">
        <v>9</v>
      </c>
      <c r="AG15" t="s">
        <v>820</v>
      </c>
      <c r="AH15">
        <v>9</v>
      </c>
      <c r="AI15" s="77">
        <v>14</v>
      </c>
      <c r="AJ15" s="77">
        <v>13</v>
      </c>
      <c r="AK15" s="77">
        <v>12</v>
      </c>
      <c r="AL15" s="77">
        <v>11</v>
      </c>
      <c r="AM15" s="77">
        <v>5.5</v>
      </c>
      <c r="AN15" s="77">
        <v>4.5</v>
      </c>
      <c r="AO15" s="77">
        <v>4</v>
      </c>
      <c r="AP15" s="77">
        <v>3</v>
      </c>
      <c r="AQ15" s="77">
        <v>2.8</v>
      </c>
      <c r="AR15" s="77">
        <v>2.2000000000000002</v>
      </c>
      <c r="AS15" s="77">
        <v>1.8</v>
      </c>
      <c r="AT15" s="77">
        <v>1.5</v>
      </c>
      <c r="AU15" s="77">
        <v>1.3</v>
      </c>
      <c r="AV15" s="77">
        <v>1</v>
      </c>
      <c r="AW15" s="77">
        <v>2.8</v>
      </c>
      <c r="AX15" s="77">
        <v>2</v>
      </c>
      <c r="AY15" s="77">
        <v>1</v>
      </c>
      <c r="AZ15" s="78">
        <v>0</v>
      </c>
      <c r="BA15" s="78">
        <v>0</v>
      </c>
      <c r="BB15" s="78">
        <v>0</v>
      </c>
      <c r="BC15" s="78">
        <v>0</v>
      </c>
      <c r="BD15" s="78">
        <v>0</v>
      </c>
      <c r="BE15" s="78">
        <v>0</v>
      </c>
      <c r="BF15" s="79">
        <v>0</v>
      </c>
      <c r="BG15" s="79">
        <v>0</v>
      </c>
      <c r="BH15" s="79">
        <v>0</v>
      </c>
      <c r="BI15" s="79">
        <v>0</v>
      </c>
      <c r="BJ15" s="79">
        <v>0</v>
      </c>
      <c r="BK15" s="79">
        <v>0</v>
      </c>
      <c r="BL15" s="79">
        <v>0</v>
      </c>
      <c r="BM15" s="79">
        <v>0</v>
      </c>
      <c r="BN15" s="79">
        <v>0</v>
      </c>
      <c r="BO15" s="79">
        <v>0</v>
      </c>
      <c r="BP15" s="79">
        <v>0</v>
      </c>
      <c r="BQ15" s="79">
        <v>0</v>
      </c>
      <c r="BR15" s="79">
        <v>0</v>
      </c>
      <c r="BS15" s="79">
        <v>0</v>
      </c>
      <c r="BT15" s="79">
        <v>0</v>
      </c>
      <c r="BU15" s="79">
        <v>0</v>
      </c>
      <c r="BV15" s="79">
        <v>0</v>
      </c>
    </row>
    <row r="16" spans="2:74" x14ac:dyDescent="0.25">
      <c r="D16" s="87">
        <v>2008</v>
      </c>
      <c r="F16" s="85" t="s">
        <v>1195</v>
      </c>
      <c r="H16" t="s">
        <v>786</v>
      </c>
      <c r="J16" s="85" t="s">
        <v>1104</v>
      </c>
      <c r="K16">
        <f t="shared" si="7"/>
        <v>13</v>
      </c>
      <c r="L16" t="s">
        <v>1112</v>
      </c>
      <c r="M16" t="s">
        <v>1112</v>
      </c>
      <c r="N16" t="s">
        <v>1112</v>
      </c>
      <c r="O16" t="s">
        <v>783</v>
      </c>
      <c r="P16" t="s">
        <v>784</v>
      </c>
      <c r="Q16" t="s">
        <v>363</v>
      </c>
      <c r="R16" t="s">
        <v>363</v>
      </c>
      <c r="S16" t="s">
        <v>363</v>
      </c>
      <c r="T16" t="s">
        <v>355</v>
      </c>
      <c r="U16" t="s">
        <v>355</v>
      </c>
      <c r="V16" t="s">
        <v>355</v>
      </c>
      <c r="AF16">
        <v>9</v>
      </c>
      <c r="AG16" t="s">
        <v>820</v>
      </c>
      <c r="AH16">
        <v>9</v>
      </c>
      <c r="AI16" s="77">
        <v>14</v>
      </c>
      <c r="AJ16" s="77">
        <v>13</v>
      </c>
      <c r="AK16" s="77">
        <v>12</v>
      </c>
      <c r="AL16" s="77">
        <v>11</v>
      </c>
      <c r="AM16" s="77">
        <v>10</v>
      </c>
      <c r="AN16" s="77">
        <v>9.1</v>
      </c>
      <c r="AO16" s="77">
        <v>8.1999999999999993</v>
      </c>
      <c r="AP16" s="77">
        <v>7.3</v>
      </c>
      <c r="AQ16" s="77">
        <v>6.5</v>
      </c>
      <c r="AR16" s="77">
        <v>5.7</v>
      </c>
      <c r="AS16" s="77">
        <v>5</v>
      </c>
      <c r="AT16" s="77">
        <v>4.4000000000000004</v>
      </c>
      <c r="AU16" s="77">
        <v>3.8</v>
      </c>
      <c r="AV16" s="77">
        <v>3.3</v>
      </c>
      <c r="AW16" s="77">
        <v>2.8</v>
      </c>
      <c r="AX16" s="77">
        <v>2</v>
      </c>
      <c r="AY16" s="77">
        <v>1</v>
      </c>
      <c r="AZ16" s="78">
        <v>0</v>
      </c>
      <c r="BA16" s="78">
        <v>0</v>
      </c>
      <c r="BB16" s="78">
        <v>0</v>
      </c>
      <c r="BC16" s="78">
        <v>0</v>
      </c>
      <c r="BD16" s="78">
        <v>0</v>
      </c>
      <c r="BE16" s="78">
        <v>0</v>
      </c>
      <c r="BF16" s="79">
        <v>0</v>
      </c>
      <c r="BG16" s="79">
        <v>0</v>
      </c>
      <c r="BH16" s="79">
        <v>0</v>
      </c>
      <c r="BI16" s="79">
        <v>0</v>
      </c>
      <c r="BJ16" s="79">
        <v>0</v>
      </c>
      <c r="BK16" s="79">
        <v>0</v>
      </c>
      <c r="BL16" s="79">
        <v>0</v>
      </c>
      <c r="BM16" s="79">
        <v>0</v>
      </c>
      <c r="BN16" s="79">
        <v>0</v>
      </c>
      <c r="BO16" s="79">
        <v>0</v>
      </c>
      <c r="BP16" s="79">
        <v>0</v>
      </c>
      <c r="BQ16" s="79">
        <v>0</v>
      </c>
      <c r="BR16" s="79">
        <v>0</v>
      </c>
      <c r="BS16" s="79">
        <v>0</v>
      </c>
      <c r="BT16" s="79">
        <v>0</v>
      </c>
      <c r="BU16" s="79">
        <v>0</v>
      </c>
      <c r="BV16" s="79">
        <v>0</v>
      </c>
    </row>
    <row r="17" spans="4:74" x14ac:dyDescent="0.25">
      <c r="D17" s="87">
        <v>2009</v>
      </c>
      <c r="F17" t="s">
        <v>39</v>
      </c>
      <c r="H17" t="s">
        <v>787</v>
      </c>
      <c r="J17" s="85" t="s">
        <v>1105</v>
      </c>
      <c r="K17">
        <f t="shared" si="7"/>
        <v>14</v>
      </c>
      <c r="L17" t="s">
        <v>348</v>
      </c>
      <c r="M17" t="s">
        <v>348</v>
      </c>
      <c r="N17" t="s">
        <v>348</v>
      </c>
      <c r="O17" t="s">
        <v>348</v>
      </c>
      <c r="P17" t="s">
        <v>348</v>
      </c>
      <c r="Q17" t="s">
        <v>348</v>
      </c>
      <c r="R17" t="s">
        <v>348</v>
      </c>
      <c r="S17" t="s">
        <v>348</v>
      </c>
      <c r="T17" t="s">
        <v>355</v>
      </c>
      <c r="U17" t="s">
        <v>355</v>
      </c>
      <c r="V17" t="s">
        <v>355</v>
      </c>
      <c r="AF17">
        <v>9</v>
      </c>
      <c r="AG17" t="s">
        <v>820</v>
      </c>
      <c r="AH17">
        <v>9</v>
      </c>
      <c r="AI17" s="77">
        <v>14</v>
      </c>
      <c r="AJ17" s="77">
        <v>13</v>
      </c>
      <c r="AK17" s="77">
        <v>12</v>
      </c>
      <c r="AL17" s="77">
        <v>11</v>
      </c>
      <c r="AM17" s="77">
        <v>10</v>
      </c>
      <c r="AN17" s="77">
        <v>9.1</v>
      </c>
      <c r="AO17" s="77">
        <v>8.1999999999999993</v>
      </c>
      <c r="AP17" s="77">
        <v>7.3</v>
      </c>
      <c r="AQ17" s="77">
        <v>6.5</v>
      </c>
      <c r="AR17" s="77">
        <v>5.7</v>
      </c>
      <c r="AS17" s="77">
        <v>5</v>
      </c>
      <c r="AT17" s="77">
        <v>4.4000000000000004</v>
      </c>
      <c r="AU17" s="77">
        <v>3.8</v>
      </c>
      <c r="AV17" s="77">
        <v>3.3</v>
      </c>
      <c r="AW17" s="77">
        <v>2.8</v>
      </c>
      <c r="AX17" s="77">
        <v>2</v>
      </c>
      <c r="AY17" s="77">
        <v>1</v>
      </c>
      <c r="AZ17" s="78">
        <v>0</v>
      </c>
      <c r="BA17" s="78">
        <v>0</v>
      </c>
      <c r="BB17" s="78">
        <v>0</v>
      </c>
      <c r="BC17" s="78">
        <v>0</v>
      </c>
      <c r="BD17" s="78">
        <v>0</v>
      </c>
      <c r="BE17" s="78">
        <v>0</v>
      </c>
      <c r="BF17" s="79">
        <v>0</v>
      </c>
      <c r="BG17" s="79">
        <v>0</v>
      </c>
      <c r="BH17" s="79">
        <v>0</v>
      </c>
      <c r="BI17" s="79">
        <v>0</v>
      </c>
      <c r="BJ17" s="79">
        <v>0</v>
      </c>
      <c r="BK17" s="79">
        <v>0</v>
      </c>
      <c r="BL17" s="79">
        <v>0</v>
      </c>
      <c r="BM17" s="79">
        <v>0</v>
      </c>
      <c r="BN17" s="79">
        <v>0</v>
      </c>
      <c r="BO17" s="79">
        <v>0</v>
      </c>
      <c r="BP17" s="79">
        <v>0</v>
      </c>
      <c r="BQ17" s="79">
        <v>0</v>
      </c>
      <c r="BR17" s="79">
        <v>0</v>
      </c>
      <c r="BS17" s="79">
        <v>0</v>
      </c>
      <c r="BT17" s="79">
        <v>0</v>
      </c>
      <c r="BU17" s="79">
        <v>0</v>
      </c>
      <c r="BV17" s="79">
        <v>0</v>
      </c>
    </row>
    <row r="18" spans="4:74" x14ac:dyDescent="0.25">
      <c r="D18" s="87">
        <v>2010</v>
      </c>
      <c r="F18" t="s">
        <v>40</v>
      </c>
      <c r="J18" s="85" t="s">
        <v>1106</v>
      </c>
      <c r="K18">
        <f t="shared" si="7"/>
        <v>15</v>
      </c>
      <c r="L18" t="s">
        <v>349</v>
      </c>
      <c r="M18" t="s">
        <v>349</v>
      </c>
      <c r="N18" t="s">
        <v>349</v>
      </c>
      <c r="O18" t="s">
        <v>349</v>
      </c>
      <c r="P18" t="s">
        <v>349</v>
      </c>
      <c r="Q18" t="s">
        <v>356</v>
      </c>
      <c r="R18" t="s">
        <v>356</v>
      </c>
      <c r="S18" t="s">
        <v>356</v>
      </c>
      <c r="T18" t="s">
        <v>356</v>
      </c>
      <c r="U18" t="s">
        <v>356</v>
      </c>
      <c r="V18" t="s">
        <v>356</v>
      </c>
      <c r="AF18">
        <v>9</v>
      </c>
      <c r="AG18" t="s">
        <v>820</v>
      </c>
      <c r="AH18">
        <v>9</v>
      </c>
      <c r="AI18" s="77">
        <v>14</v>
      </c>
      <c r="AJ18" s="77">
        <v>13</v>
      </c>
      <c r="AK18" s="77">
        <v>12</v>
      </c>
      <c r="AL18" s="77">
        <v>11</v>
      </c>
      <c r="AM18" s="77">
        <v>10</v>
      </c>
      <c r="AN18" s="77">
        <v>9.1</v>
      </c>
      <c r="AO18" s="77">
        <v>8.1999999999999993</v>
      </c>
      <c r="AP18" s="77">
        <v>7.3</v>
      </c>
      <c r="AQ18" s="77">
        <v>6.5</v>
      </c>
      <c r="AR18" s="77">
        <v>5.7</v>
      </c>
      <c r="AS18" s="77">
        <v>5</v>
      </c>
      <c r="AT18" s="77">
        <v>4.4000000000000004</v>
      </c>
      <c r="AU18" s="77">
        <v>3.8</v>
      </c>
      <c r="AV18" s="77">
        <v>3.3</v>
      </c>
      <c r="AW18" s="77">
        <v>2.8</v>
      </c>
      <c r="AX18" s="77">
        <v>2</v>
      </c>
      <c r="AY18" s="77">
        <v>1</v>
      </c>
      <c r="AZ18" s="78">
        <v>0</v>
      </c>
      <c r="BA18" s="78">
        <v>0</v>
      </c>
      <c r="BB18" s="78">
        <v>0</v>
      </c>
      <c r="BC18" s="78">
        <v>0</v>
      </c>
      <c r="BD18" s="78">
        <v>0</v>
      </c>
      <c r="BE18" s="78">
        <v>0</v>
      </c>
      <c r="BF18" s="79">
        <v>0</v>
      </c>
      <c r="BG18" s="79">
        <v>0</v>
      </c>
      <c r="BH18" s="79">
        <v>0</v>
      </c>
      <c r="BI18" s="79">
        <v>0</v>
      </c>
      <c r="BJ18" s="79">
        <v>0</v>
      </c>
      <c r="BK18" s="79">
        <v>0</v>
      </c>
      <c r="BL18" s="79">
        <v>0</v>
      </c>
      <c r="BM18" s="79">
        <v>0</v>
      </c>
      <c r="BN18" s="79">
        <v>0</v>
      </c>
      <c r="BO18" s="79">
        <v>0</v>
      </c>
      <c r="BP18" s="79">
        <v>0</v>
      </c>
      <c r="BQ18" s="79">
        <v>0</v>
      </c>
      <c r="BR18" s="79">
        <v>0</v>
      </c>
      <c r="BS18" s="79">
        <v>0</v>
      </c>
      <c r="BT18" s="79">
        <v>0</v>
      </c>
      <c r="BU18" s="79">
        <v>0</v>
      </c>
      <c r="BV18" s="79">
        <v>0</v>
      </c>
    </row>
    <row r="19" spans="4:74" x14ac:dyDescent="0.25">
      <c r="D19" s="87">
        <v>2011</v>
      </c>
      <c r="F19" t="s">
        <v>36</v>
      </c>
      <c r="H19" s="85" t="s">
        <v>59</v>
      </c>
      <c r="J19" s="85" t="s">
        <v>785</v>
      </c>
      <c r="K19">
        <f t="shared" si="7"/>
        <v>16</v>
      </c>
      <c r="L19" t="s">
        <v>166</v>
      </c>
      <c r="M19" t="s">
        <v>166</v>
      </c>
      <c r="N19" t="s">
        <v>166</v>
      </c>
      <c r="O19" t="s">
        <v>166</v>
      </c>
      <c r="P19" t="s">
        <v>166</v>
      </c>
      <c r="Q19" t="s">
        <v>166</v>
      </c>
      <c r="R19" t="s">
        <v>166</v>
      </c>
      <c r="S19" t="s">
        <v>166</v>
      </c>
      <c r="T19" t="s">
        <v>166</v>
      </c>
      <c r="U19" t="s">
        <v>166</v>
      </c>
      <c r="V19" t="s">
        <v>166</v>
      </c>
      <c r="W19" t="s">
        <v>166</v>
      </c>
      <c r="X19" t="s">
        <v>166</v>
      </c>
      <c r="Y19" t="s">
        <v>166</v>
      </c>
      <c r="Z19" t="s">
        <v>166</v>
      </c>
      <c r="AA19" t="s">
        <v>166</v>
      </c>
      <c r="AB19" t="s">
        <v>166</v>
      </c>
      <c r="AC19" t="s">
        <v>166</v>
      </c>
      <c r="AD19" t="s">
        <v>166</v>
      </c>
      <c r="AE19" t="s">
        <v>166</v>
      </c>
      <c r="AF19">
        <v>9</v>
      </c>
      <c r="AG19" t="s">
        <v>820</v>
      </c>
      <c r="AH19">
        <v>9</v>
      </c>
      <c r="AI19" s="77">
        <v>14</v>
      </c>
      <c r="AJ19" s="77">
        <v>13</v>
      </c>
      <c r="AK19" s="77">
        <v>12</v>
      </c>
      <c r="AL19" s="77">
        <v>11</v>
      </c>
      <c r="AM19" s="77">
        <v>10</v>
      </c>
      <c r="AN19" s="77">
        <v>9.1</v>
      </c>
      <c r="AO19" s="77">
        <v>8.1999999999999993</v>
      </c>
      <c r="AP19" s="77">
        <v>7.3</v>
      </c>
      <c r="AQ19" s="77">
        <v>6.5</v>
      </c>
      <c r="AR19" s="77">
        <v>5.7</v>
      </c>
      <c r="AS19" s="77">
        <v>5</v>
      </c>
      <c r="AT19" s="77">
        <v>4.4000000000000004</v>
      </c>
      <c r="AU19" s="77">
        <v>3.8</v>
      </c>
      <c r="AV19" s="77">
        <v>3.3</v>
      </c>
      <c r="AW19" s="77">
        <v>2.8</v>
      </c>
      <c r="AX19" s="77">
        <v>2</v>
      </c>
      <c r="AY19" s="77">
        <v>1</v>
      </c>
      <c r="AZ19" s="78">
        <v>0</v>
      </c>
      <c r="BA19" s="78">
        <v>0</v>
      </c>
      <c r="BB19" s="78">
        <v>0</v>
      </c>
      <c r="BC19" s="78">
        <v>0</v>
      </c>
      <c r="BD19" s="78">
        <v>0</v>
      </c>
      <c r="BE19" s="78">
        <v>0</v>
      </c>
      <c r="BF19" s="79">
        <v>0</v>
      </c>
      <c r="BG19" s="79">
        <v>0</v>
      </c>
      <c r="BH19" s="79">
        <v>0</v>
      </c>
      <c r="BI19" s="79">
        <v>0</v>
      </c>
      <c r="BJ19" s="79">
        <v>0</v>
      </c>
      <c r="BK19" s="79">
        <v>0</v>
      </c>
      <c r="BL19" s="79">
        <v>0</v>
      </c>
      <c r="BM19" s="79">
        <v>0</v>
      </c>
      <c r="BN19" s="79">
        <v>0</v>
      </c>
      <c r="BO19" s="79">
        <v>0</v>
      </c>
      <c r="BP19" s="79">
        <v>0</v>
      </c>
      <c r="BQ19" s="79">
        <v>0</v>
      </c>
      <c r="BR19" s="79">
        <v>0</v>
      </c>
      <c r="BS19" s="79">
        <v>0</v>
      </c>
      <c r="BT19" s="79">
        <v>0</v>
      </c>
      <c r="BU19" s="79">
        <v>0</v>
      </c>
      <c r="BV19" s="79">
        <v>0</v>
      </c>
    </row>
    <row r="20" spans="4:74" x14ac:dyDescent="0.25">
      <c r="D20" s="87">
        <v>2012</v>
      </c>
      <c r="F20" t="s">
        <v>42</v>
      </c>
      <c r="H20" t="s">
        <v>325</v>
      </c>
      <c r="J20" s="85" t="s">
        <v>788</v>
      </c>
      <c r="K20">
        <f t="shared" si="7"/>
        <v>17</v>
      </c>
      <c r="L20" t="s">
        <v>166</v>
      </c>
      <c r="M20" t="s">
        <v>166</v>
      </c>
      <c r="N20" t="s">
        <v>166</v>
      </c>
      <c r="O20" t="s">
        <v>166</v>
      </c>
      <c r="P20" t="s">
        <v>166</v>
      </c>
      <c r="Q20" t="s">
        <v>166</v>
      </c>
      <c r="R20" t="s">
        <v>166</v>
      </c>
      <c r="S20" t="s">
        <v>166</v>
      </c>
      <c r="T20" t="s">
        <v>166</v>
      </c>
      <c r="U20" t="s">
        <v>166</v>
      </c>
      <c r="V20" t="s">
        <v>166</v>
      </c>
      <c r="W20" t="s">
        <v>166</v>
      </c>
      <c r="X20" t="s">
        <v>166</v>
      </c>
      <c r="Y20" t="s">
        <v>166</v>
      </c>
      <c r="Z20" t="s">
        <v>166</v>
      </c>
      <c r="AA20" t="s">
        <v>166</v>
      </c>
      <c r="AB20" t="s">
        <v>166</v>
      </c>
      <c r="AC20" t="s">
        <v>166</v>
      </c>
      <c r="AD20" t="s">
        <v>166</v>
      </c>
      <c r="AE20" t="s">
        <v>166</v>
      </c>
      <c r="AF20">
        <v>9</v>
      </c>
      <c r="AG20" t="s">
        <v>820</v>
      </c>
      <c r="AH20">
        <v>9</v>
      </c>
      <c r="AI20" s="77">
        <v>14</v>
      </c>
      <c r="AJ20" s="77">
        <v>13</v>
      </c>
      <c r="AK20" s="77">
        <v>12</v>
      </c>
      <c r="AL20" s="77">
        <v>11</v>
      </c>
      <c r="AM20" s="77">
        <v>10</v>
      </c>
      <c r="AN20" s="77">
        <v>9.1</v>
      </c>
      <c r="AO20" s="77">
        <v>8.1999999999999993</v>
      </c>
      <c r="AP20" s="77">
        <v>7.3</v>
      </c>
      <c r="AQ20" s="77">
        <v>6.5</v>
      </c>
      <c r="AR20" s="77">
        <v>5.7</v>
      </c>
      <c r="AS20" s="77">
        <v>5</v>
      </c>
      <c r="AT20" s="77">
        <v>4.4000000000000004</v>
      </c>
      <c r="AU20" s="77">
        <v>3.8</v>
      </c>
      <c r="AV20" s="77">
        <v>3.3</v>
      </c>
      <c r="AW20" s="77">
        <v>2.8</v>
      </c>
      <c r="AX20" s="77">
        <v>2</v>
      </c>
      <c r="AY20" s="77">
        <v>1</v>
      </c>
      <c r="AZ20" s="78">
        <v>0</v>
      </c>
      <c r="BA20" s="78">
        <v>0</v>
      </c>
      <c r="BB20" s="78">
        <v>0</v>
      </c>
      <c r="BC20" s="78">
        <v>0</v>
      </c>
      <c r="BD20" s="78">
        <v>0</v>
      </c>
      <c r="BE20" s="78">
        <v>0</v>
      </c>
      <c r="BF20" s="79">
        <v>0</v>
      </c>
      <c r="BG20" s="79">
        <v>0</v>
      </c>
      <c r="BH20" s="79">
        <v>0</v>
      </c>
      <c r="BI20" s="79">
        <v>0</v>
      </c>
      <c r="BJ20" s="79">
        <v>0</v>
      </c>
      <c r="BK20" s="79">
        <v>0</v>
      </c>
      <c r="BL20" s="79">
        <v>0</v>
      </c>
      <c r="BM20" s="79">
        <v>0</v>
      </c>
      <c r="BN20" s="79">
        <v>0</v>
      </c>
      <c r="BO20" s="79">
        <v>0</v>
      </c>
      <c r="BP20" s="79">
        <v>0</v>
      </c>
      <c r="BQ20" s="79">
        <v>0</v>
      </c>
      <c r="BR20" s="79">
        <v>0</v>
      </c>
      <c r="BS20" s="79">
        <v>0</v>
      </c>
      <c r="BT20" s="79">
        <v>0</v>
      </c>
      <c r="BU20" s="79">
        <v>0</v>
      </c>
      <c r="BV20" s="79">
        <v>0</v>
      </c>
    </row>
    <row r="21" spans="4:74" x14ac:dyDescent="0.25">
      <c r="D21" s="87">
        <v>2013</v>
      </c>
      <c r="F21" t="s">
        <v>371</v>
      </c>
      <c r="H21" t="s">
        <v>326</v>
      </c>
      <c r="J21" s="85" t="s">
        <v>63</v>
      </c>
      <c r="K21">
        <f t="shared" si="7"/>
        <v>18</v>
      </c>
      <c r="L21" t="s">
        <v>347</v>
      </c>
      <c r="M21" t="s">
        <v>347</v>
      </c>
      <c r="N21" t="s">
        <v>347</v>
      </c>
      <c r="O21" t="s">
        <v>347</v>
      </c>
      <c r="P21" t="s">
        <v>347</v>
      </c>
      <c r="Q21" t="s">
        <v>347</v>
      </c>
      <c r="R21" t="s">
        <v>347</v>
      </c>
      <c r="S21" t="s">
        <v>347</v>
      </c>
      <c r="T21" t="s">
        <v>347</v>
      </c>
      <c r="U21" t="s">
        <v>347</v>
      </c>
      <c r="V21" t="s">
        <v>347</v>
      </c>
      <c r="W21" t="s">
        <v>359</v>
      </c>
      <c r="X21" t="s">
        <v>360</v>
      </c>
      <c r="AF21">
        <v>15</v>
      </c>
      <c r="AG21" t="s">
        <v>713</v>
      </c>
      <c r="AH21">
        <v>15</v>
      </c>
      <c r="AI21" s="77">
        <v>14</v>
      </c>
      <c r="AJ21" s="77">
        <v>13</v>
      </c>
      <c r="AK21" s="77">
        <v>12</v>
      </c>
      <c r="AL21" s="77">
        <v>11</v>
      </c>
      <c r="AM21" s="77">
        <v>10</v>
      </c>
      <c r="AN21" s="77">
        <v>9.1</v>
      </c>
      <c r="AO21" s="77">
        <v>8.1999999999999993</v>
      </c>
      <c r="AP21" s="77">
        <v>7.3</v>
      </c>
      <c r="AQ21" s="77">
        <v>6.5</v>
      </c>
      <c r="AR21" s="77">
        <v>5.7</v>
      </c>
      <c r="AS21" s="77">
        <v>5</v>
      </c>
      <c r="AT21" s="77">
        <v>4.4000000000000004</v>
      </c>
      <c r="AU21" s="77">
        <v>3.8</v>
      </c>
      <c r="AV21" s="77">
        <v>3.3</v>
      </c>
      <c r="AW21" s="77">
        <v>2.8</v>
      </c>
      <c r="AX21" s="77">
        <v>2</v>
      </c>
      <c r="AY21" s="77">
        <v>1</v>
      </c>
      <c r="AZ21" s="78">
        <v>0</v>
      </c>
      <c r="BA21" s="78">
        <v>0</v>
      </c>
      <c r="BB21" s="78">
        <v>0</v>
      </c>
      <c r="BC21" s="78">
        <v>0</v>
      </c>
      <c r="BD21" s="78">
        <v>0</v>
      </c>
      <c r="BE21" s="78">
        <v>0</v>
      </c>
      <c r="BF21" s="79">
        <v>0</v>
      </c>
      <c r="BG21" s="79">
        <v>0</v>
      </c>
      <c r="BH21" s="79">
        <v>0</v>
      </c>
      <c r="BI21" s="79">
        <v>0</v>
      </c>
      <c r="BJ21" s="79">
        <v>0</v>
      </c>
      <c r="BK21" s="79">
        <v>0</v>
      </c>
      <c r="BL21" s="79">
        <v>0</v>
      </c>
      <c r="BM21" s="79">
        <v>0</v>
      </c>
      <c r="BN21" s="79">
        <v>0</v>
      </c>
      <c r="BO21" s="79">
        <v>0</v>
      </c>
      <c r="BP21" s="79">
        <v>0</v>
      </c>
      <c r="BQ21" s="79">
        <v>0</v>
      </c>
      <c r="BR21" s="79">
        <v>0</v>
      </c>
      <c r="BS21" s="79">
        <v>0</v>
      </c>
      <c r="BT21" s="79">
        <v>0</v>
      </c>
      <c r="BU21" s="79">
        <v>0</v>
      </c>
      <c r="BV21" s="79">
        <v>0</v>
      </c>
    </row>
    <row r="22" spans="4:74" x14ac:dyDescent="0.25">
      <c r="D22" s="87">
        <v>2014</v>
      </c>
      <c r="F22" t="s">
        <v>372</v>
      </c>
      <c r="J22" s="85" t="s">
        <v>64</v>
      </c>
      <c r="K22">
        <f t="shared" si="7"/>
        <v>19</v>
      </c>
      <c r="L22" t="s">
        <v>347</v>
      </c>
      <c r="M22" t="s">
        <v>347</v>
      </c>
      <c r="N22" t="s">
        <v>347</v>
      </c>
      <c r="O22" t="s">
        <v>347</v>
      </c>
      <c r="P22" t="s">
        <v>347</v>
      </c>
      <c r="Q22" t="s">
        <v>347</v>
      </c>
      <c r="R22" t="s">
        <v>347</v>
      </c>
      <c r="S22" t="s">
        <v>347</v>
      </c>
      <c r="T22" t="s">
        <v>347</v>
      </c>
      <c r="U22" t="s">
        <v>347</v>
      </c>
      <c r="V22" t="s">
        <v>347</v>
      </c>
      <c r="W22" t="s">
        <v>359</v>
      </c>
      <c r="X22" t="s">
        <v>360</v>
      </c>
      <c r="AF22">
        <v>15</v>
      </c>
      <c r="AG22" t="s">
        <v>713</v>
      </c>
      <c r="AH22">
        <v>15</v>
      </c>
      <c r="AI22" s="77">
        <v>14</v>
      </c>
      <c r="AJ22" s="77">
        <v>13</v>
      </c>
      <c r="AK22" s="77">
        <v>12</v>
      </c>
      <c r="AL22" s="77">
        <v>11</v>
      </c>
      <c r="AM22" s="77">
        <v>10</v>
      </c>
      <c r="AN22" s="77">
        <v>9.1</v>
      </c>
      <c r="AO22" s="77">
        <v>8.1999999999999993</v>
      </c>
      <c r="AP22" s="77">
        <v>7.3</v>
      </c>
      <c r="AQ22" s="77">
        <v>6.5</v>
      </c>
      <c r="AR22" s="77">
        <v>5.7</v>
      </c>
      <c r="AS22" s="77">
        <v>5</v>
      </c>
      <c r="AT22" s="77">
        <v>4.4000000000000004</v>
      </c>
      <c r="AU22" s="77">
        <v>3.8</v>
      </c>
      <c r="AV22" s="77">
        <v>3.3</v>
      </c>
      <c r="AW22" s="77">
        <v>2.8</v>
      </c>
      <c r="AX22" s="77">
        <v>2</v>
      </c>
      <c r="AY22" s="77">
        <v>1</v>
      </c>
      <c r="AZ22" s="78">
        <v>0</v>
      </c>
      <c r="BA22" s="78">
        <v>0</v>
      </c>
      <c r="BB22" s="78">
        <v>0</v>
      </c>
      <c r="BC22" s="78">
        <v>0</v>
      </c>
      <c r="BD22" s="78">
        <v>0</v>
      </c>
      <c r="BE22" s="78">
        <v>0</v>
      </c>
      <c r="BF22" s="79">
        <v>0</v>
      </c>
      <c r="BG22" s="79">
        <v>0</v>
      </c>
      <c r="BH22" s="79">
        <v>0</v>
      </c>
      <c r="BI22" s="79">
        <v>0</v>
      </c>
      <c r="BJ22" s="79">
        <v>0</v>
      </c>
      <c r="BK22" s="79">
        <v>0</v>
      </c>
      <c r="BL22" s="79">
        <v>0</v>
      </c>
      <c r="BM22" s="79">
        <v>0</v>
      </c>
      <c r="BN22" s="79">
        <v>0</v>
      </c>
      <c r="BO22" s="79">
        <v>0</v>
      </c>
      <c r="BP22" s="79">
        <v>0</v>
      </c>
      <c r="BQ22" s="79">
        <v>0</v>
      </c>
      <c r="BR22" s="79">
        <v>0</v>
      </c>
      <c r="BS22" s="79">
        <v>0</v>
      </c>
      <c r="BT22" s="79">
        <v>0</v>
      </c>
      <c r="BU22" s="79">
        <v>0</v>
      </c>
      <c r="BV22" s="79">
        <v>0</v>
      </c>
    </row>
    <row r="23" spans="4:74" x14ac:dyDescent="0.25">
      <c r="D23" s="87">
        <v>2015</v>
      </c>
      <c r="F23" t="s">
        <v>43</v>
      </c>
      <c r="H23" s="85" t="s">
        <v>73</v>
      </c>
      <c r="J23" s="85" t="s">
        <v>368</v>
      </c>
      <c r="K23">
        <f t="shared" si="7"/>
        <v>20</v>
      </c>
      <c r="L23" t="s">
        <v>347</v>
      </c>
      <c r="M23" t="s">
        <v>347</v>
      </c>
      <c r="N23" t="s">
        <v>347</v>
      </c>
      <c r="O23" t="s">
        <v>347</v>
      </c>
      <c r="P23" t="s">
        <v>347</v>
      </c>
      <c r="Q23" t="s">
        <v>347</v>
      </c>
      <c r="R23" t="s">
        <v>347</v>
      </c>
      <c r="S23" t="s">
        <v>347</v>
      </c>
      <c r="T23" t="s">
        <v>347</v>
      </c>
      <c r="U23" t="s">
        <v>347</v>
      </c>
      <c r="V23" t="s">
        <v>347</v>
      </c>
      <c r="W23" t="s">
        <v>359</v>
      </c>
      <c r="X23" t="s">
        <v>360</v>
      </c>
      <c r="Y23" t="s">
        <v>354</v>
      </c>
      <c r="Z23" t="s">
        <v>354</v>
      </c>
      <c r="AA23" t="s">
        <v>354</v>
      </c>
      <c r="AB23" t="s">
        <v>354</v>
      </c>
      <c r="AC23" t="s">
        <v>354</v>
      </c>
      <c r="AD23" t="s">
        <v>354</v>
      </c>
      <c r="AE23" t="s">
        <v>354</v>
      </c>
      <c r="AF23">
        <v>15</v>
      </c>
      <c r="AG23" t="s">
        <v>713</v>
      </c>
      <c r="AH23">
        <v>15</v>
      </c>
      <c r="AI23" s="77">
        <v>14</v>
      </c>
      <c r="AJ23" s="77">
        <v>13</v>
      </c>
      <c r="AK23" s="77">
        <v>12</v>
      </c>
      <c r="AL23" s="77">
        <v>11</v>
      </c>
      <c r="AM23" s="77">
        <v>10</v>
      </c>
      <c r="AN23" s="77">
        <v>9.1</v>
      </c>
      <c r="AO23" s="77">
        <v>8.1999999999999993</v>
      </c>
      <c r="AP23" s="77">
        <v>7.3</v>
      </c>
      <c r="AQ23" s="77">
        <v>6.5</v>
      </c>
      <c r="AR23" s="77">
        <v>5.7</v>
      </c>
      <c r="AS23" s="77">
        <v>5</v>
      </c>
      <c r="AT23" s="77">
        <v>4.4000000000000004</v>
      </c>
      <c r="AU23" s="77">
        <v>3.8</v>
      </c>
      <c r="AV23" s="77">
        <v>3.3</v>
      </c>
      <c r="AW23" s="77">
        <v>2.8</v>
      </c>
      <c r="AX23" s="77">
        <v>2</v>
      </c>
      <c r="AY23" s="77">
        <v>1</v>
      </c>
      <c r="AZ23" s="78">
        <v>0</v>
      </c>
      <c r="BA23" s="78">
        <v>0</v>
      </c>
      <c r="BB23" s="78">
        <v>0</v>
      </c>
      <c r="BC23" s="78">
        <v>0</v>
      </c>
      <c r="BD23" s="78">
        <v>0</v>
      </c>
      <c r="BE23" s="78">
        <v>0</v>
      </c>
      <c r="BF23" s="79">
        <v>0</v>
      </c>
      <c r="BG23" s="79">
        <v>0</v>
      </c>
      <c r="BH23" s="79">
        <v>0</v>
      </c>
      <c r="BI23" s="79">
        <v>0</v>
      </c>
      <c r="BJ23" s="79">
        <v>0</v>
      </c>
      <c r="BK23" s="79">
        <v>0</v>
      </c>
      <c r="BL23" s="79">
        <v>0</v>
      </c>
      <c r="BM23" s="79">
        <v>0</v>
      </c>
      <c r="BN23" s="79">
        <v>0</v>
      </c>
      <c r="BO23" s="79">
        <v>0</v>
      </c>
      <c r="BP23" s="79">
        <v>0</v>
      </c>
      <c r="BQ23" s="79">
        <v>0</v>
      </c>
      <c r="BR23" s="79">
        <v>0</v>
      </c>
      <c r="BS23" s="79">
        <v>0</v>
      </c>
      <c r="BT23" s="79">
        <v>0</v>
      </c>
      <c r="BU23" s="79">
        <v>0</v>
      </c>
      <c r="BV23" s="79">
        <v>0</v>
      </c>
    </row>
    <row r="24" spans="4:74" x14ac:dyDescent="0.25">
      <c r="D24" s="87">
        <v>2016</v>
      </c>
      <c r="F24" t="s">
        <v>333</v>
      </c>
      <c r="H24" t="s">
        <v>325</v>
      </c>
      <c r="J24" s="85" t="s">
        <v>369</v>
      </c>
      <c r="K24">
        <f t="shared" si="7"/>
        <v>21</v>
      </c>
      <c r="L24" t="s">
        <v>347</v>
      </c>
      <c r="M24" t="s">
        <v>347</v>
      </c>
      <c r="N24" t="s">
        <v>347</v>
      </c>
      <c r="O24" t="s">
        <v>347</v>
      </c>
      <c r="P24" t="s">
        <v>347</v>
      </c>
      <c r="Q24" t="s">
        <v>347</v>
      </c>
      <c r="R24" t="s">
        <v>347</v>
      </c>
      <c r="S24" t="s">
        <v>347</v>
      </c>
      <c r="T24" t="s">
        <v>347</v>
      </c>
      <c r="U24" t="s">
        <v>347</v>
      </c>
      <c r="V24" t="s">
        <v>347</v>
      </c>
      <c r="AF24">
        <v>15</v>
      </c>
      <c r="AG24" t="s">
        <v>713</v>
      </c>
      <c r="AH24">
        <v>15</v>
      </c>
      <c r="AI24" s="77">
        <v>14</v>
      </c>
      <c r="AJ24" s="77">
        <v>13</v>
      </c>
      <c r="AK24" s="77">
        <v>12</v>
      </c>
      <c r="AL24" s="77">
        <v>11</v>
      </c>
      <c r="AM24" s="77">
        <v>10</v>
      </c>
      <c r="AN24" s="77">
        <v>9.1</v>
      </c>
      <c r="AO24" s="77">
        <v>8.1999999999999993</v>
      </c>
      <c r="AP24" s="77">
        <v>7.3</v>
      </c>
      <c r="AQ24" s="77">
        <v>6.5</v>
      </c>
      <c r="AR24" s="77">
        <v>5.7</v>
      </c>
      <c r="AS24" s="77">
        <v>5</v>
      </c>
      <c r="AT24" s="77">
        <v>4.4000000000000004</v>
      </c>
      <c r="AU24" s="77">
        <v>3.8</v>
      </c>
      <c r="AV24" s="77">
        <v>3.3</v>
      </c>
      <c r="AW24" s="77">
        <v>2.8</v>
      </c>
      <c r="AX24" s="77">
        <v>2</v>
      </c>
      <c r="AY24" s="77">
        <v>1</v>
      </c>
      <c r="AZ24" s="78">
        <v>0</v>
      </c>
      <c r="BA24" s="78">
        <v>0</v>
      </c>
      <c r="BB24" s="78">
        <v>0</v>
      </c>
      <c r="BC24" s="78">
        <v>0</v>
      </c>
      <c r="BD24" s="78">
        <v>0</v>
      </c>
      <c r="BE24" s="78">
        <v>0</v>
      </c>
      <c r="BF24" s="79">
        <v>0</v>
      </c>
      <c r="BG24" s="79">
        <v>0</v>
      </c>
      <c r="BH24" s="79">
        <v>0</v>
      </c>
      <c r="BI24" s="79">
        <v>0</v>
      </c>
      <c r="BJ24" s="79">
        <v>0</v>
      </c>
      <c r="BK24" s="79">
        <v>0</v>
      </c>
      <c r="BL24" s="79">
        <v>0</v>
      </c>
      <c r="BM24" s="79">
        <v>0</v>
      </c>
      <c r="BN24" s="79">
        <v>0</v>
      </c>
      <c r="BO24" s="79">
        <v>0</v>
      </c>
      <c r="BP24" s="79">
        <v>0</v>
      </c>
      <c r="BQ24" s="79">
        <v>0</v>
      </c>
      <c r="BR24" s="79">
        <v>0</v>
      </c>
      <c r="BS24" s="79">
        <v>0</v>
      </c>
      <c r="BT24" s="79">
        <v>0</v>
      </c>
      <c r="BU24" s="79">
        <v>0</v>
      </c>
      <c r="BV24" s="79">
        <v>0</v>
      </c>
    </row>
    <row r="25" spans="4:74" x14ac:dyDescent="0.25">
      <c r="D25" s="87">
        <v>2017</v>
      </c>
      <c r="F25" t="s">
        <v>334</v>
      </c>
      <c r="H25" t="s">
        <v>326</v>
      </c>
      <c r="J25" s="85" t="s">
        <v>379</v>
      </c>
      <c r="K25">
        <f t="shared" si="7"/>
        <v>22</v>
      </c>
      <c r="W25" t="s">
        <v>359</v>
      </c>
      <c r="X25" t="s">
        <v>360</v>
      </c>
      <c r="Y25" t="s">
        <v>354</v>
      </c>
      <c r="Z25" t="s">
        <v>354</v>
      </c>
      <c r="AA25" t="s">
        <v>354</v>
      </c>
      <c r="AB25" t="s">
        <v>354</v>
      </c>
      <c r="AC25" t="s">
        <v>354</v>
      </c>
      <c r="AD25" t="s">
        <v>354</v>
      </c>
      <c r="AE25" t="s">
        <v>354</v>
      </c>
      <c r="AF25">
        <v>15</v>
      </c>
      <c r="AG25" t="s">
        <v>713</v>
      </c>
      <c r="AH25">
        <v>15</v>
      </c>
      <c r="AI25" s="77">
        <v>14</v>
      </c>
      <c r="AJ25" s="77">
        <v>13</v>
      </c>
      <c r="AK25" s="77">
        <v>12</v>
      </c>
      <c r="AL25" s="77">
        <v>11</v>
      </c>
      <c r="AM25" s="77">
        <v>10</v>
      </c>
      <c r="AN25" s="77">
        <v>9.1</v>
      </c>
      <c r="AO25" s="77">
        <v>8.1999999999999993</v>
      </c>
      <c r="AP25" s="77">
        <v>7.3</v>
      </c>
      <c r="AQ25" s="77">
        <v>6.5</v>
      </c>
      <c r="AR25" s="77">
        <v>5.7</v>
      </c>
      <c r="AS25" s="77">
        <v>5</v>
      </c>
      <c r="AT25" s="77">
        <v>4.4000000000000004</v>
      </c>
      <c r="AU25" s="77">
        <v>3.8</v>
      </c>
      <c r="AV25" s="77">
        <v>3.3</v>
      </c>
      <c r="AW25" s="77">
        <v>2.8</v>
      </c>
      <c r="AX25" s="77">
        <v>2</v>
      </c>
      <c r="AY25" s="77">
        <v>1</v>
      </c>
      <c r="AZ25" s="78">
        <v>0</v>
      </c>
      <c r="BA25" s="78">
        <v>0</v>
      </c>
      <c r="BB25" s="78">
        <v>0</v>
      </c>
      <c r="BC25" s="78">
        <v>0</v>
      </c>
      <c r="BD25" s="78">
        <v>0</v>
      </c>
      <c r="BE25" s="78">
        <v>0</v>
      </c>
      <c r="BF25" s="79">
        <v>0</v>
      </c>
      <c r="BG25" s="79">
        <v>0</v>
      </c>
      <c r="BH25" s="79">
        <v>0</v>
      </c>
      <c r="BI25" s="79">
        <v>0</v>
      </c>
      <c r="BJ25" s="79">
        <v>0</v>
      </c>
      <c r="BK25" s="79">
        <v>0</v>
      </c>
      <c r="BL25" s="79">
        <v>0</v>
      </c>
      <c r="BM25" s="79">
        <v>0</v>
      </c>
      <c r="BN25" s="79">
        <v>0</v>
      </c>
      <c r="BO25" s="79">
        <v>0</v>
      </c>
      <c r="BP25" s="79">
        <v>0</v>
      </c>
      <c r="BQ25" s="79">
        <v>0</v>
      </c>
      <c r="BR25" s="79">
        <v>0</v>
      </c>
      <c r="BS25" s="79">
        <v>0</v>
      </c>
      <c r="BT25" s="79">
        <v>0</v>
      </c>
      <c r="BU25" s="79">
        <v>0</v>
      </c>
      <c r="BV25" s="79">
        <v>0</v>
      </c>
    </row>
    <row r="26" spans="4:74" x14ac:dyDescent="0.25">
      <c r="D26" s="87">
        <v>2018</v>
      </c>
      <c r="F26" t="s">
        <v>49</v>
      </c>
      <c r="J26" s="85" t="s">
        <v>380</v>
      </c>
      <c r="K26">
        <f t="shared" si="7"/>
        <v>23</v>
      </c>
      <c r="W26" t="s">
        <v>359</v>
      </c>
      <c r="X26" t="s">
        <v>360</v>
      </c>
      <c r="Y26" t="s">
        <v>354</v>
      </c>
      <c r="Z26" t="s">
        <v>354</v>
      </c>
      <c r="AA26" t="s">
        <v>354</v>
      </c>
      <c r="AB26" t="s">
        <v>354</v>
      </c>
      <c r="AC26" t="s">
        <v>354</v>
      </c>
      <c r="AD26" t="s">
        <v>354</v>
      </c>
      <c r="AE26" t="s">
        <v>354</v>
      </c>
      <c r="AF26">
        <v>15</v>
      </c>
      <c r="AG26" t="s">
        <v>713</v>
      </c>
      <c r="AH26">
        <v>15</v>
      </c>
      <c r="AI26" s="77">
        <v>14</v>
      </c>
      <c r="AJ26" s="77">
        <v>13</v>
      </c>
      <c r="AK26" s="77">
        <v>12</v>
      </c>
      <c r="AL26" s="77">
        <v>11</v>
      </c>
      <c r="AM26" s="77">
        <v>10</v>
      </c>
      <c r="AN26" s="77">
        <v>9.1</v>
      </c>
      <c r="AO26" s="77">
        <v>8.1999999999999993</v>
      </c>
      <c r="AP26" s="77">
        <v>7.3</v>
      </c>
      <c r="AQ26" s="77">
        <v>6.5</v>
      </c>
      <c r="AR26" s="77">
        <v>5.7</v>
      </c>
      <c r="AS26" s="77">
        <v>5</v>
      </c>
      <c r="AT26" s="77">
        <v>4.4000000000000004</v>
      </c>
      <c r="AU26" s="77">
        <v>3.8</v>
      </c>
      <c r="AV26" s="77">
        <v>3.3</v>
      </c>
      <c r="AW26" s="77">
        <v>2.8</v>
      </c>
      <c r="AX26" s="77">
        <v>2</v>
      </c>
      <c r="AY26" s="77">
        <v>1</v>
      </c>
      <c r="AZ26" s="78">
        <v>0</v>
      </c>
      <c r="BA26" s="78">
        <v>0</v>
      </c>
      <c r="BB26" s="78">
        <v>0</v>
      </c>
      <c r="BC26" s="78">
        <v>0</v>
      </c>
      <c r="BD26" s="78">
        <v>0</v>
      </c>
      <c r="BE26" s="78">
        <v>0</v>
      </c>
      <c r="BF26" s="79">
        <v>0</v>
      </c>
      <c r="BG26" s="79">
        <v>0</v>
      </c>
      <c r="BH26" s="79">
        <v>0</v>
      </c>
      <c r="BI26" s="79">
        <v>0</v>
      </c>
      <c r="BJ26" s="79">
        <v>0</v>
      </c>
      <c r="BK26" s="79">
        <v>0</v>
      </c>
      <c r="BL26" s="79">
        <v>0</v>
      </c>
      <c r="BM26" s="79">
        <v>0</v>
      </c>
      <c r="BN26" s="79">
        <v>0</v>
      </c>
      <c r="BO26" s="79">
        <v>0</v>
      </c>
      <c r="BP26" s="79">
        <v>0</v>
      </c>
      <c r="BQ26" s="79">
        <v>0</v>
      </c>
      <c r="BR26" s="79">
        <v>0</v>
      </c>
      <c r="BS26" s="79">
        <v>0</v>
      </c>
      <c r="BT26" s="79">
        <v>0</v>
      </c>
      <c r="BU26" s="79">
        <v>0</v>
      </c>
      <c r="BV26" s="79">
        <v>0</v>
      </c>
    </row>
    <row r="27" spans="4:74" x14ac:dyDescent="0.25">
      <c r="D27" s="87">
        <v>2019</v>
      </c>
      <c r="F27" t="s">
        <v>50</v>
      </c>
      <c r="H27" s="85" t="s">
        <v>369</v>
      </c>
      <c r="J27" s="85" t="s">
        <v>844</v>
      </c>
      <c r="K27">
        <f t="shared" si="7"/>
        <v>24</v>
      </c>
      <c r="L27" t="s">
        <v>1482</v>
      </c>
      <c r="M27" t="s">
        <v>1482</v>
      </c>
      <c r="N27" t="s">
        <v>1483</v>
      </c>
      <c r="O27" t="s">
        <v>1483</v>
      </c>
      <c r="P27" t="s">
        <v>1483</v>
      </c>
      <c r="Q27" t="s">
        <v>1483</v>
      </c>
      <c r="R27" t="s">
        <v>1484</v>
      </c>
      <c r="S27" t="s">
        <v>1484</v>
      </c>
      <c r="T27" t="s">
        <v>1484</v>
      </c>
      <c r="U27" t="s">
        <v>1484</v>
      </c>
      <c r="V27" t="s">
        <v>1484</v>
      </c>
      <c r="W27" t="s">
        <v>1484</v>
      </c>
      <c r="AF27">
        <v>15</v>
      </c>
      <c r="AG27" t="s">
        <v>820</v>
      </c>
      <c r="AH27">
        <v>15</v>
      </c>
      <c r="AI27" s="77">
        <v>14</v>
      </c>
      <c r="AJ27" s="77">
        <v>13</v>
      </c>
      <c r="AK27" s="77">
        <v>12</v>
      </c>
      <c r="AL27" s="77">
        <v>11</v>
      </c>
      <c r="AM27" s="77">
        <v>10</v>
      </c>
      <c r="AN27" s="77">
        <v>9.1</v>
      </c>
      <c r="AO27" s="77">
        <v>8.1999999999999993</v>
      </c>
      <c r="AP27" s="77">
        <v>7.3</v>
      </c>
      <c r="AQ27" s="77">
        <v>6.5</v>
      </c>
      <c r="AR27" s="77">
        <v>5.7</v>
      </c>
      <c r="AS27" s="77">
        <v>5</v>
      </c>
      <c r="AT27" s="77">
        <v>4.4000000000000004</v>
      </c>
      <c r="AU27" s="77">
        <v>3.8</v>
      </c>
      <c r="AV27" s="77">
        <v>3.3</v>
      </c>
      <c r="AW27" s="77">
        <v>2.8</v>
      </c>
      <c r="AX27" s="77">
        <v>2</v>
      </c>
      <c r="AY27" s="77">
        <v>1</v>
      </c>
      <c r="AZ27" s="78">
        <v>0</v>
      </c>
      <c r="BA27" s="78">
        <v>0</v>
      </c>
      <c r="BB27" s="78">
        <v>0</v>
      </c>
      <c r="BC27" s="78">
        <v>0</v>
      </c>
      <c r="BD27" s="78">
        <v>0</v>
      </c>
      <c r="BE27" s="78">
        <v>0</v>
      </c>
      <c r="BF27" s="79">
        <v>0</v>
      </c>
      <c r="BG27" s="79">
        <v>0</v>
      </c>
      <c r="BH27" s="79">
        <v>0</v>
      </c>
      <c r="BI27" s="79">
        <v>0</v>
      </c>
      <c r="BJ27" s="79">
        <v>0</v>
      </c>
      <c r="BK27" s="79">
        <v>0</v>
      </c>
      <c r="BL27" s="79">
        <v>0</v>
      </c>
      <c r="BM27" s="79">
        <v>0</v>
      </c>
      <c r="BN27" s="79">
        <v>0</v>
      </c>
      <c r="BO27" s="79">
        <v>0</v>
      </c>
      <c r="BP27" s="79">
        <v>0</v>
      </c>
      <c r="BQ27" s="79">
        <v>0</v>
      </c>
      <c r="BR27" s="79">
        <v>0</v>
      </c>
      <c r="BS27" s="79">
        <v>0</v>
      </c>
      <c r="BT27" s="79">
        <v>0</v>
      </c>
      <c r="BU27" s="79">
        <v>0</v>
      </c>
      <c r="BV27" s="79">
        <v>0</v>
      </c>
    </row>
    <row r="28" spans="4:74" x14ac:dyDescent="0.25">
      <c r="D28" s="87">
        <v>2020</v>
      </c>
      <c r="H28" t="s">
        <v>343</v>
      </c>
      <c r="J28" s="85" t="s">
        <v>845</v>
      </c>
      <c r="K28">
        <f t="shared" si="7"/>
        <v>25</v>
      </c>
      <c r="L28" t="s">
        <v>1482</v>
      </c>
      <c r="M28" t="s">
        <v>1482</v>
      </c>
      <c r="N28" t="s">
        <v>1483</v>
      </c>
      <c r="O28" t="s">
        <v>1483</v>
      </c>
      <c r="P28" t="s">
        <v>1483</v>
      </c>
      <c r="Q28" t="s">
        <v>1483</v>
      </c>
      <c r="R28" t="s">
        <v>1484</v>
      </c>
      <c r="S28" t="s">
        <v>1484</v>
      </c>
      <c r="T28" t="s">
        <v>1484</v>
      </c>
      <c r="U28" t="s">
        <v>1484</v>
      </c>
      <c r="V28" t="s">
        <v>1484</v>
      </c>
      <c r="W28" t="s">
        <v>1484</v>
      </c>
      <c r="AF28">
        <v>15</v>
      </c>
      <c r="AG28" t="s">
        <v>820</v>
      </c>
      <c r="AH28">
        <v>15</v>
      </c>
      <c r="AI28" s="77">
        <v>14</v>
      </c>
      <c r="AJ28" s="77">
        <v>13</v>
      </c>
      <c r="AK28" s="77">
        <v>12</v>
      </c>
      <c r="AL28" s="77">
        <v>11</v>
      </c>
      <c r="AM28" s="77">
        <v>10</v>
      </c>
      <c r="AN28" s="77">
        <v>9.1</v>
      </c>
      <c r="AO28" s="77">
        <v>8.1999999999999993</v>
      </c>
      <c r="AP28" s="77">
        <v>7.3</v>
      </c>
      <c r="AQ28" s="77">
        <v>6.5</v>
      </c>
      <c r="AR28" s="77">
        <v>5.7</v>
      </c>
      <c r="AS28" s="77">
        <v>5</v>
      </c>
      <c r="AT28" s="77">
        <v>4.4000000000000004</v>
      </c>
      <c r="AU28" s="77">
        <v>3.8</v>
      </c>
      <c r="AV28" s="77">
        <v>3.3</v>
      </c>
      <c r="AW28" s="77">
        <v>2.8</v>
      </c>
      <c r="AX28" s="77">
        <v>2</v>
      </c>
      <c r="AY28" s="77">
        <v>1</v>
      </c>
      <c r="AZ28" s="78">
        <v>0</v>
      </c>
      <c r="BA28" s="78">
        <v>0</v>
      </c>
      <c r="BB28" s="78">
        <v>0</v>
      </c>
      <c r="BC28" s="78">
        <v>0</v>
      </c>
      <c r="BD28" s="78">
        <v>0</v>
      </c>
      <c r="BE28" s="78">
        <v>0</v>
      </c>
      <c r="BF28" s="79">
        <v>0</v>
      </c>
      <c r="BG28" s="79">
        <v>0</v>
      </c>
      <c r="BH28" s="79">
        <v>0</v>
      </c>
      <c r="BI28" s="79">
        <v>0</v>
      </c>
      <c r="BJ28" s="79">
        <v>0</v>
      </c>
      <c r="BK28" s="79">
        <v>0</v>
      </c>
      <c r="BL28" s="79">
        <v>0</v>
      </c>
      <c r="BM28" s="79">
        <v>0</v>
      </c>
      <c r="BN28" s="79">
        <v>0</v>
      </c>
      <c r="BO28" s="79">
        <v>0</v>
      </c>
      <c r="BP28" s="79">
        <v>0</v>
      </c>
      <c r="BQ28" s="79">
        <v>0</v>
      </c>
      <c r="BR28" s="79">
        <v>0</v>
      </c>
      <c r="BS28" s="79">
        <v>0</v>
      </c>
      <c r="BT28" s="79">
        <v>0</v>
      </c>
      <c r="BU28" s="79">
        <v>0</v>
      </c>
      <c r="BV28" s="79">
        <v>0</v>
      </c>
    </row>
    <row r="29" spans="4:74" x14ac:dyDescent="0.25">
      <c r="D29" s="87">
        <v>2021</v>
      </c>
      <c r="F29" s="85" t="s">
        <v>1194</v>
      </c>
      <c r="H29" t="s">
        <v>344</v>
      </c>
      <c r="J29" s="85" t="s">
        <v>846</v>
      </c>
      <c r="K29">
        <f t="shared" si="7"/>
        <v>26</v>
      </c>
      <c r="L29" t="s">
        <v>1482</v>
      </c>
      <c r="M29" t="s">
        <v>1482</v>
      </c>
      <c r="N29" t="s">
        <v>1483</v>
      </c>
      <c r="O29" t="s">
        <v>1483</v>
      </c>
      <c r="P29" t="s">
        <v>1483</v>
      </c>
      <c r="Q29" t="s">
        <v>1483</v>
      </c>
      <c r="R29" t="s">
        <v>1484</v>
      </c>
      <c r="S29" t="s">
        <v>1484</v>
      </c>
      <c r="T29" t="s">
        <v>1484</v>
      </c>
      <c r="U29" t="s">
        <v>1484</v>
      </c>
      <c r="V29" t="s">
        <v>1484</v>
      </c>
      <c r="W29" t="s">
        <v>1484</v>
      </c>
      <c r="AF29">
        <v>15</v>
      </c>
      <c r="AG29" t="s">
        <v>820</v>
      </c>
      <c r="AH29">
        <v>15</v>
      </c>
      <c r="AI29" s="77">
        <v>14</v>
      </c>
      <c r="AJ29" s="77">
        <v>13</v>
      </c>
      <c r="AK29" s="77">
        <v>12</v>
      </c>
      <c r="AL29" s="77">
        <v>11</v>
      </c>
      <c r="AM29" s="77">
        <v>10</v>
      </c>
      <c r="AN29" s="77">
        <v>9.1</v>
      </c>
      <c r="AO29" s="77">
        <v>8.1999999999999993</v>
      </c>
      <c r="AP29" s="77">
        <v>7.3</v>
      </c>
      <c r="AQ29" s="77">
        <v>6.5</v>
      </c>
      <c r="AR29" s="77">
        <v>5.7</v>
      </c>
      <c r="AS29" s="77">
        <v>5</v>
      </c>
      <c r="AT29" s="77">
        <v>4.4000000000000004</v>
      </c>
      <c r="AU29" s="77">
        <v>3.8</v>
      </c>
      <c r="AV29" s="77">
        <v>3.3</v>
      </c>
      <c r="AW29" s="77">
        <v>2.8</v>
      </c>
      <c r="AX29" s="77">
        <v>2</v>
      </c>
      <c r="AY29" s="77">
        <v>1</v>
      </c>
      <c r="AZ29" s="78">
        <v>0</v>
      </c>
      <c r="BA29" s="78">
        <v>0</v>
      </c>
      <c r="BB29" s="78">
        <v>0</v>
      </c>
      <c r="BC29" s="78">
        <v>0</v>
      </c>
      <c r="BD29" s="78">
        <v>0</v>
      </c>
      <c r="BE29" s="78">
        <v>0</v>
      </c>
      <c r="BF29" s="79">
        <v>0</v>
      </c>
      <c r="BG29" s="79">
        <v>0</v>
      </c>
      <c r="BH29" s="79">
        <v>0</v>
      </c>
      <c r="BI29" s="79">
        <v>0</v>
      </c>
      <c r="BJ29" s="79">
        <v>0</v>
      </c>
      <c r="BK29" s="79">
        <v>0</v>
      </c>
      <c r="BL29" s="79">
        <v>0</v>
      </c>
      <c r="BM29" s="79">
        <v>0</v>
      </c>
      <c r="BN29" s="79">
        <v>0</v>
      </c>
      <c r="BO29" s="79">
        <v>0</v>
      </c>
      <c r="BP29" s="79">
        <v>0</v>
      </c>
      <c r="BQ29" s="79">
        <v>0</v>
      </c>
      <c r="BR29" s="79">
        <v>0</v>
      </c>
      <c r="BS29" s="79">
        <v>0</v>
      </c>
      <c r="BT29" s="79">
        <v>0</v>
      </c>
      <c r="BU29" s="79">
        <v>0</v>
      </c>
      <c r="BV29" s="79">
        <v>0</v>
      </c>
    </row>
    <row r="30" spans="4:74" x14ac:dyDescent="0.25">
      <c r="D30" s="87">
        <v>2022</v>
      </c>
      <c r="F30" t="s">
        <v>39</v>
      </c>
      <c r="J30" s="85" t="s">
        <v>847</v>
      </c>
      <c r="K30">
        <f t="shared" si="7"/>
        <v>27</v>
      </c>
      <c r="L30" t="s">
        <v>1482</v>
      </c>
      <c r="M30" t="s">
        <v>1482</v>
      </c>
      <c r="N30" t="s">
        <v>1483</v>
      </c>
      <c r="O30" t="s">
        <v>1483</v>
      </c>
      <c r="P30" t="s">
        <v>1483</v>
      </c>
      <c r="Q30" t="s">
        <v>1483</v>
      </c>
      <c r="R30" t="s">
        <v>1484</v>
      </c>
      <c r="S30" t="s">
        <v>1484</v>
      </c>
      <c r="T30" t="s">
        <v>1484</v>
      </c>
      <c r="U30" t="s">
        <v>1484</v>
      </c>
      <c r="V30" t="s">
        <v>1484</v>
      </c>
      <c r="W30" t="s">
        <v>1484</v>
      </c>
      <c r="AF30">
        <v>15</v>
      </c>
      <c r="AG30" t="s">
        <v>820</v>
      </c>
      <c r="AH30">
        <v>15</v>
      </c>
      <c r="AI30" s="77">
        <v>14</v>
      </c>
      <c r="AJ30" s="77">
        <v>13</v>
      </c>
      <c r="AK30" s="77">
        <v>12</v>
      </c>
      <c r="AL30" s="77">
        <v>11</v>
      </c>
      <c r="AM30" s="77">
        <v>10</v>
      </c>
      <c r="AN30" s="77">
        <v>9.1</v>
      </c>
      <c r="AO30" s="77">
        <v>8.1999999999999993</v>
      </c>
      <c r="AP30" s="77">
        <v>7.3</v>
      </c>
      <c r="AQ30" s="77">
        <v>6.5</v>
      </c>
      <c r="AR30" s="77">
        <v>5.7</v>
      </c>
      <c r="AS30" s="77">
        <v>5</v>
      </c>
      <c r="AT30" s="77">
        <v>4.4000000000000004</v>
      </c>
      <c r="AU30" s="77">
        <v>3.8</v>
      </c>
      <c r="AV30" s="77">
        <v>3.3</v>
      </c>
      <c r="AW30" s="77">
        <v>2.8</v>
      </c>
      <c r="AX30" s="77">
        <v>2</v>
      </c>
      <c r="AY30" s="77">
        <v>1</v>
      </c>
      <c r="AZ30" s="78">
        <v>0</v>
      </c>
      <c r="BA30" s="78">
        <v>0</v>
      </c>
      <c r="BB30" s="78">
        <v>0</v>
      </c>
      <c r="BC30" s="78">
        <v>0</v>
      </c>
      <c r="BD30" s="78">
        <v>0</v>
      </c>
      <c r="BE30" s="78">
        <v>0</v>
      </c>
      <c r="BF30" s="79">
        <v>0</v>
      </c>
      <c r="BG30" s="79">
        <v>0</v>
      </c>
      <c r="BH30" s="79">
        <v>0</v>
      </c>
      <c r="BI30" s="79">
        <v>0</v>
      </c>
      <c r="BJ30" s="79">
        <v>0</v>
      </c>
      <c r="BK30" s="79">
        <v>0</v>
      </c>
      <c r="BL30" s="79">
        <v>0</v>
      </c>
      <c r="BM30" s="79">
        <v>0</v>
      </c>
      <c r="BN30" s="79">
        <v>0</v>
      </c>
      <c r="BO30" s="79">
        <v>0</v>
      </c>
      <c r="BP30" s="79">
        <v>0</v>
      </c>
      <c r="BQ30" s="79">
        <v>0</v>
      </c>
      <c r="BR30" s="79">
        <v>0</v>
      </c>
      <c r="BS30" s="79">
        <v>0</v>
      </c>
      <c r="BT30" s="79">
        <v>0</v>
      </c>
      <c r="BU30" s="79">
        <v>0</v>
      </c>
      <c r="BV30" s="79">
        <v>0</v>
      </c>
    </row>
    <row r="31" spans="4:74" x14ac:dyDescent="0.25">
      <c r="D31" s="87">
        <v>2023</v>
      </c>
      <c r="F31" t="s">
        <v>40</v>
      </c>
      <c r="H31" s="85" t="s">
        <v>1167</v>
      </c>
      <c r="J31" s="85" t="s">
        <v>1188</v>
      </c>
      <c r="K31">
        <f t="shared" si="7"/>
        <v>28</v>
      </c>
      <c r="L31" t="s">
        <v>347</v>
      </c>
      <c r="M31" t="s">
        <v>347</v>
      </c>
      <c r="N31" t="s">
        <v>347</v>
      </c>
      <c r="O31" t="s">
        <v>347</v>
      </c>
      <c r="P31" t="s">
        <v>347</v>
      </c>
      <c r="Q31" t="s">
        <v>347</v>
      </c>
      <c r="R31" t="s">
        <v>347</v>
      </c>
      <c r="S31" t="s">
        <v>347</v>
      </c>
      <c r="T31" t="s">
        <v>347</v>
      </c>
      <c r="U31" t="s">
        <v>347</v>
      </c>
      <c r="V31" t="s">
        <v>347</v>
      </c>
      <c r="W31" t="s">
        <v>359</v>
      </c>
      <c r="X31" t="s">
        <v>360</v>
      </c>
      <c r="Y31" t="s">
        <v>361</v>
      </c>
      <c r="Z31" t="s">
        <v>353</v>
      </c>
      <c r="AA31" t="s">
        <v>353</v>
      </c>
      <c r="AB31" t="s">
        <v>353</v>
      </c>
      <c r="AC31" t="s">
        <v>353</v>
      </c>
      <c r="AD31" t="s">
        <v>353</v>
      </c>
      <c r="AE31" t="s">
        <v>353</v>
      </c>
      <c r="AF31">
        <v>15</v>
      </c>
      <c r="AG31" t="s">
        <v>713</v>
      </c>
      <c r="AH31">
        <v>15</v>
      </c>
      <c r="AI31" s="79">
        <v>0</v>
      </c>
      <c r="AJ31" s="79">
        <v>0</v>
      </c>
      <c r="AK31" s="79">
        <v>0</v>
      </c>
      <c r="AL31" s="79">
        <v>0</v>
      </c>
      <c r="AM31" s="79">
        <v>0</v>
      </c>
      <c r="AN31" s="79">
        <v>0</v>
      </c>
      <c r="AO31" s="79">
        <v>0</v>
      </c>
      <c r="AP31" s="79">
        <v>0</v>
      </c>
      <c r="AQ31" s="79">
        <v>0</v>
      </c>
      <c r="AR31" s="79">
        <v>0</v>
      </c>
      <c r="AS31" s="79">
        <v>0</v>
      </c>
      <c r="AT31" s="79">
        <v>0</v>
      </c>
      <c r="AU31" s="79">
        <v>0</v>
      </c>
      <c r="AV31" s="79">
        <v>0</v>
      </c>
      <c r="AW31" s="79">
        <v>0</v>
      </c>
      <c r="AX31" s="79">
        <v>0</v>
      </c>
      <c r="AY31" s="79">
        <v>0</v>
      </c>
      <c r="AZ31" s="79">
        <v>0</v>
      </c>
      <c r="BA31" s="79">
        <v>0</v>
      </c>
      <c r="BB31" s="79">
        <v>0</v>
      </c>
      <c r="BC31" s="79">
        <v>0</v>
      </c>
      <c r="BD31" s="79">
        <v>0</v>
      </c>
      <c r="BE31" s="79">
        <v>0</v>
      </c>
      <c r="BF31" s="79">
        <v>0</v>
      </c>
      <c r="BG31" s="79">
        <v>0</v>
      </c>
      <c r="BH31" s="79">
        <v>0</v>
      </c>
      <c r="BI31" s="79">
        <v>0</v>
      </c>
      <c r="BJ31" s="79">
        <v>0</v>
      </c>
      <c r="BK31" s="79">
        <v>0</v>
      </c>
      <c r="BL31" s="79">
        <v>0</v>
      </c>
      <c r="BM31" s="79">
        <v>0</v>
      </c>
      <c r="BN31" s="79">
        <v>0</v>
      </c>
      <c r="BO31" s="79">
        <v>0</v>
      </c>
      <c r="BP31" s="79">
        <v>0</v>
      </c>
      <c r="BQ31" s="79">
        <v>0</v>
      </c>
      <c r="BR31" s="79">
        <v>0</v>
      </c>
      <c r="BS31" s="79">
        <v>0</v>
      </c>
      <c r="BT31" s="79">
        <v>0</v>
      </c>
      <c r="BU31" s="79">
        <v>0</v>
      </c>
      <c r="BV31" s="79">
        <v>0</v>
      </c>
    </row>
    <row r="32" spans="4:74" x14ac:dyDescent="0.25">
      <c r="D32" s="87">
        <v>2024</v>
      </c>
      <c r="F32" t="s">
        <v>36</v>
      </c>
      <c r="H32" t="s">
        <v>1177</v>
      </c>
      <c r="J32" s="85" t="s">
        <v>1189</v>
      </c>
      <c r="K32">
        <f t="shared" si="7"/>
        <v>29</v>
      </c>
      <c r="L32" t="s">
        <v>347</v>
      </c>
      <c r="M32" t="s">
        <v>347</v>
      </c>
      <c r="N32" t="s">
        <v>347</v>
      </c>
      <c r="O32" t="s">
        <v>347</v>
      </c>
      <c r="P32" t="s">
        <v>347</v>
      </c>
      <c r="Q32" t="s">
        <v>347</v>
      </c>
      <c r="R32" t="s">
        <v>347</v>
      </c>
      <c r="S32" t="s">
        <v>347</v>
      </c>
      <c r="T32" t="s">
        <v>347</v>
      </c>
      <c r="U32" t="s">
        <v>347</v>
      </c>
      <c r="V32" t="s">
        <v>347</v>
      </c>
      <c r="W32" t="s">
        <v>359</v>
      </c>
      <c r="X32" t="s">
        <v>360</v>
      </c>
      <c r="Y32" t="s">
        <v>361</v>
      </c>
      <c r="Z32" t="s">
        <v>353</v>
      </c>
      <c r="AA32" t="s">
        <v>353</v>
      </c>
      <c r="AB32" t="s">
        <v>353</v>
      </c>
      <c r="AC32" t="s">
        <v>353</v>
      </c>
      <c r="AD32" t="s">
        <v>353</v>
      </c>
      <c r="AE32" t="s">
        <v>353</v>
      </c>
      <c r="AF32">
        <v>15</v>
      </c>
      <c r="AG32" t="s">
        <v>713</v>
      </c>
      <c r="AH32">
        <v>15</v>
      </c>
      <c r="AI32" s="79">
        <v>0</v>
      </c>
      <c r="AJ32" s="79">
        <v>0</v>
      </c>
      <c r="AK32" s="79">
        <v>0</v>
      </c>
      <c r="AL32" s="79">
        <v>0</v>
      </c>
      <c r="AM32" s="79">
        <v>0</v>
      </c>
      <c r="AN32" s="79">
        <v>0</v>
      </c>
      <c r="AO32" s="79">
        <v>0</v>
      </c>
      <c r="AP32" s="79">
        <v>0</v>
      </c>
      <c r="AQ32" s="79">
        <v>0</v>
      </c>
      <c r="AR32" s="79">
        <v>0</v>
      </c>
      <c r="AS32" s="79">
        <v>0</v>
      </c>
      <c r="AT32" s="79">
        <v>0</v>
      </c>
      <c r="AU32" s="79">
        <v>0</v>
      </c>
      <c r="AV32" s="79">
        <v>0</v>
      </c>
      <c r="AW32" s="79">
        <v>0</v>
      </c>
      <c r="AX32" s="79">
        <v>0</v>
      </c>
      <c r="AY32" s="79">
        <v>0</v>
      </c>
      <c r="AZ32" s="79">
        <v>0</v>
      </c>
      <c r="BA32" s="79">
        <v>0</v>
      </c>
      <c r="BB32" s="79">
        <v>0</v>
      </c>
      <c r="BC32" s="79">
        <v>0</v>
      </c>
      <c r="BD32" s="79">
        <v>0</v>
      </c>
      <c r="BE32" s="79">
        <v>0</v>
      </c>
      <c r="BF32" s="79">
        <v>0</v>
      </c>
      <c r="BG32" s="79">
        <v>0</v>
      </c>
      <c r="BH32" s="79">
        <v>0</v>
      </c>
      <c r="BI32" s="79">
        <v>0</v>
      </c>
      <c r="BJ32" s="79">
        <v>0</v>
      </c>
      <c r="BK32" s="79">
        <v>0</v>
      </c>
      <c r="BL32" s="79">
        <v>0</v>
      </c>
      <c r="BM32" s="79">
        <v>0</v>
      </c>
      <c r="BN32" s="79">
        <v>0</v>
      </c>
      <c r="BO32" s="79">
        <v>0</v>
      </c>
      <c r="BP32" s="79">
        <v>0</v>
      </c>
      <c r="BQ32" s="79">
        <v>0</v>
      </c>
      <c r="BR32" s="79">
        <v>0</v>
      </c>
      <c r="BS32" s="79">
        <v>0</v>
      </c>
      <c r="BT32" s="79">
        <v>0</v>
      </c>
      <c r="BU32" s="79">
        <v>0</v>
      </c>
      <c r="BV32" s="79">
        <v>0</v>
      </c>
    </row>
    <row r="33" spans="4:74" x14ac:dyDescent="0.25">
      <c r="D33" s="87">
        <v>2025</v>
      </c>
      <c r="F33" t="s">
        <v>42</v>
      </c>
      <c r="H33" t="s">
        <v>1178</v>
      </c>
      <c r="J33" s="85" t="s">
        <v>1190</v>
      </c>
      <c r="K33">
        <f t="shared" si="7"/>
        <v>30</v>
      </c>
      <c r="L33" t="s">
        <v>350</v>
      </c>
      <c r="M33" t="s">
        <v>350</v>
      </c>
      <c r="N33" t="s">
        <v>350</v>
      </c>
      <c r="O33" t="s">
        <v>350</v>
      </c>
      <c r="P33" t="s">
        <v>350</v>
      </c>
      <c r="Q33" t="s">
        <v>350</v>
      </c>
      <c r="R33" t="s">
        <v>350</v>
      </c>
      <c r="S33" t="s">
        <v>1176</v>
      </c>
      <c r="T33" t="s">
        <v>1176</v>
      </c>
      <c r="U33" t="s">
        <v>1176</v>
      </c>
      <c r="V33" t="s">
        <v>1176</v>
      </c>
      <c r="W33" t="s">
        <v>359</v>
      </c>
      <c r="AF33">
        <v>15</v>
      </c>
      <c r="AG33" t="s">
        <v>713</v>
      </c>
      <c r="AH33">
        <v>15</v>
      </c>
      <c r="AI33" s="79">
        <v>0</v>
      </c>
      <c r="AJ33" s="79">
        <v>0</v>
      </c>
      <c r="AK33" s="79">
        <v>0</v>
      </c>
      <c r="AL33" s="79">
        <v>0</v>
      </c>
      <c r="AM33" s="79">
        <v>0</v>
      </c>
      <c r="AN33" s="79">
        <v>0</v>
      </c>
      <c r="AO33" s="79">
        <v>0</v>
      </c>
      <c r="AP33" s="79">
        <v>0</v>
      </c>
      <c r="AQ33" s="79">
        <v>0</v>
      </c>
      <c r="AR33" s="79">
        <v>0</v>
      </c>
      <c r="AS33" s="79">
        <v>0</v>
      </c>
      <c r="AT33" s="79">
        <v>0</v>
      </c>
      <c r="AU33" s="79">
        <v>0</v>
      </c>
      <c r="AV33" s="79">
        <v>0</v>
      </c>
      <c r="AW33" s="79">
        <v>0</v>
      </c>
      <c r="AX33" s="79">
        <v>0</v>
      </c>
      <c r="AY33" s="79">
        <v>0</v>
      </c>
      <c r="AZ33" s="79">
        <v>0</v>
      </c>
      <c r="BA33" s="79">
        <v>0</v>
      </c>
      <c r="BB33" s="79">
        <v>0</v>
      </c>
      <c r="BC33" s="79">
        <v>0</v>
      </c>
      <c r="BD33" s="79">
        <v>0</v>
      </c>
      <c r="BE33" s="79">
        <v>0</v>
      </c>
      <c r="BF33" s="79">
        <v>0</v>
      </c>
      <c r="BG33" s="79">
        <v>0</v>
      </c>
      <c r="BH33" s="79">
        <v>0</v>
      </c>
      <c r="BI33" s="79">
        <v>0</v>
      </c>
      <c r="BJ33" s="79">
        <v>0</v>
      </c>
      <c r="BK33" s="79">
        <v>0</v>
      </c>
      <c r="BL33" s="79">
        <v>0</v>
      </c>
      <c r="BM33" s="79">
        <v>0</v>
      </c>
      <c r="BN33" s="79">
        <v>0</v>
      </c>
      <c r="BO33" s="79">
        <v>0</v>
      </c>
      <c r="BP33" s="79">
        <v>0</v>
      </c>
      <c r="BQ33" s="79">
        <v>0</v>
      </c>
      <c r="BR33" s="79">
        <v>0</v>
      </c>
      <c r="BS33" s="79">
        <v>0</v>
      </c>
      <c r="BT33" s="79">
        <v>0</v>
      </c>
      <c r="BU33" s="79">
        <v>0</v>
      </c>
      <c r="BV33" s="79">
        <v>0</v>
      </c>
    </row>
    <row r="34" spans="4:74" x14ac:dyDescent="0.25">
      <c r="D34" s="87"/>
      <c r="F34" t="s">
        <v>371</v>
      </c>
      <c r="J34" s="85" t="s">
        <v>1191</v>
      </c>
      <c r="K34">
        <f t="shared" si="7"/>
        <v>31</v>
      </c>
      <c r="L34" t="s">
        <v>347</v>
      </c>
      <c r="M34" t="s">
        <v>347</v>
      </c>
      <c r="N34" t="s">
        <v>347</v>
      </c>
      <c r="O34" t="s">
        <v>347</v>
      </c>
      <c r="P34" t="s">
        <v>347</v>
      </c>
      <c r="Q34" t="s">
        <v>347</v>
      </c>
      <c r="R34" t="s">
        <v>347</v>
      </c>
      <c r="S34" t="s">
        <v>347</v>
      </c>
      <c r="T34" t="s">
        <v>347</v>
      </c>
      <c r="U34" t="s">
        <v>347</v>
      </c>
      <c r="V34" t="s">
        <v>347</v>
      </c>
      <c r="W34" t="s">
        <v>359</v>
      </c>
      <c r="AF34">
        <v>15</v>
      </c>
      <c r="AG34" t="s">
        <v>713</v>
      </c>
      <c r="AH34">
        <v>15</v>
      </c>
      <c r="AI34" s="79">
        <v>0</v>
      </c>
      <c r="AJ34" s="79">
        <v>0</v>
      </c>
      <c r="AK34" s="79">
        <v>0</v>
      </c>
      <c r="AL34" s="79">
        <v>0</v>
      </c>
      <c r="AM34" s="79">
        <v>0</v>
      </c>
      <c r="AN34" s="79">
        <v>0</v>
      </c>
      <c r="AO34" s="79">
        <v>0</v>
      </c>
      <c r="AP34" s="79">
        <v>0</v>
      </c>
      <c r="AQ34" s="79">
        <v>0</v>
      </c>
      <c r="AR34" s="79">
        <v>0</v>
      </c>
      <c r="AS34" s="79">
        <v>0</v>
      </c>
      <c r="AT34" s="79">
        <v>0</v>
      </c>
      <c r="AU34" s="79">
        <v>0</v>
      </c>
      <c r="AV34" s="79">
        <v>0</v>
      </c>
      <c r="AW34" s="79">
        <v>0</v>
      </c>
      <c r="AX34" s="79">
        <v>0</v>
      </c>
      <c r="AY34" s="79">
        <v>0</v>
      </c>
      <c r="AZ34" s="79">
        <v>0</v>
      </c>
      <c r="BA34" s="79">
        <v>0</v>
      </c>
      <c r="BB34" s="79">
        <v>0</v>
      </c>
      <c r="BC34" s="79">
        <v>0</v>
      </c>
      <c r="BD34" s="79">
        <v>0</v>
      </c>
      <c r="BE34" s="79">
        <v>0</v>
      </c>
      <c r="BF34" s="79">
        <v>0</v>
      </c>
      <c r="BG34" s="79">
        <v>0</v>
      </c>
      <c r="BH34" s="79">
        <v>0</v>
      </c>
      <c r="BI34" s="79">
        <v>0</v>
      </c>
      <c r="BJ34" s="79">
        <v>0</v>
      </c>
      <c r="BK34" s="79">
        <v>0</v>
      </c>
      <c r="BL34" s="79">
        <v>0</v>
      </c>
      <c r="BM34" s="79">
        <v>0</v>
      </c>
      <c r="BN34" s="79">
        <v>0</v>
      </c>
      <c r="BO34" s="79">
        <v>0</v>
      </c>
      <c r="BP34" s="79">
        <v>0</v>
      </c>
      <c r="BQ34" s="79">
        <v>0</v>
      </c>
      <c r="BR34" s="79">
        <v>0</v>
      </c>
      <c r="BS34" s="79">
        <v>0</v>
      </c>
      <c r="BT34" s="79">
        <v>0</v>
      </c>
      <c r="BU34" s="79">
        <v>0</v>
      </c>
      <c r="BV34" s="79">
        <v>0</v>
      </c>
    </row>
    <row r="35" spans="4:74" x14ac:dyDescent="0.25">
      <c r="F35" t="s">
        <v>372</v>
      </c>
      <c r="H35" s="85" t="s">
        <v>1169</v>
      </c>
      <c r="J35" s="85" t="s">
        <v>1192</v>
      </c>
      <c r="K35">
        <f t="shared" si="7"/>
        <v>32</v>
      </c>
      <c r="L35" t="s">
        <v>347</v>
      </c>
      <c r="M35" t="s">
        <v>347</v>
      </c>
      <c r="N35" t="s">
        <v>347</v>
      </c>
      <c r="O35" t="s">
        <v>347</v>
      </c>
      <c r="P35" t="s">
        <v>347</v>
      </c>
      <c r="Q35" t="s">
        <v>347</v>
      </c>
      <c r="R35" t="s">
        <v>347</v>
      </c>
      <c r="S35" t="s">
        <v>347</v>
      </c>
      <c r="T35" t="s">
        <v>347</v>
      </c>
      <c r="U35" t="s">
        <v>347</v>
      </c>
      <c r="V35" t="s">
        <v>347</v>
      </c>
      <c r="W35" t="s">
        <v>359</v>
      </c>
      <c r="AF35">
        <v>15</v>
      </c>
      <c r="AG35" t="s">
        <v>713</v>
      </c>
      <c r="AH35">
        <v>15</v>
      </c>
      <c r="AI35" s="79">
        <v>0</v>
      </c>
      <c r="AJ35" s="79">
        <v>0</v>
      </c>
      <c r="AK35" s="79">
        <v>0</v>
      </c>
      <c r="AL35" s="79">
        <v>0</v>
      </c>
      <c r="AM35" s="79">
        <v>0</v>
      </c>
      <c r="AN35" s="79">
        <v>0</v>
      </c>
      <c r="AO35" s="79">
        <v>0</v>
      </c>
      <c r="AP35" s="79">
        <v>0</v>
      </c>
      <c r="AQ35" s="79">
        <v>0</v>
      </c>
      <c r="AR35" s="79">
        <v>0</v>
      </c>
      <c r="AS35" s="79">
        <v>0</v>
      </c>
      <c r="AT35" s="79">
        <v>0</v>
      </c>
      <c r="AU35" s="79">
        <v>0</v>
      </c>
      <c r="AV35" s="79">
        <v>0</v>
      </c>
      <c r="AW35" s="79">
        <v>0</v>
      </c>
      <c r="AX35" s="79">
        <v>0</v>
      </c>
      <c r="AY35" s="79">
        <v>0</v>
      </c>
      <c r="AZ35" s="79">
        <v>0</v>
      </c>
      <c r="BA35" s="79">
        <v>0</v>
      </c>
      <c r="BB35" s="79">
        <v>0</v>
      </c>
      <c r="BC35" s="79">
        <v>0</v>
      </c>
      <c r="BD35" s="79">
        <v>0</v>
      </c>
      <c r="BE35" s="79">
        <v>0</v>
      </c>
      <c r="BF35" s="79">
        <v>0</v>
      </c>
      <c r="BG35" s="79">
        <v>0</v>
      </c>
      <c r="BH35" s="79">
        <v>0</v>
      </c>
      <c r="BI35" s="79">
        <v>0</v>
      </c>
      <c r="BJ35" s="79">
        <v>0</v>
      </c>
      <c r="BK35" s="79">
        <v>0</v>
      </c>
      <c r="BL35" s="79">
        <v>0</v>
      </c>
      <c r="BM35" s="79">
        <v>0</v>
      </c>
      <c r="BN35" s="79">
        <v>0</v>
      </c>
      <c r="BO35" s="79">
        <v>0</v>
      </c>
      <c r="BP35" s="79">
        <v>0</v>
      </c>
      <c r="BQ35" s="79">
        <v>0</v>
      </c>
      <c r="BR35" s="79">
        <v>0</v>
      </c>
      <c r="BS35" s="79">
        <v>0</v>
      </c>
      <c r="BT35" s="79">
        <v>0</v>
      </c>
      <c r="BU35" s="79">
        <v>0</v>
      </c>
      <c r="BV35" s="79">
        <v>0</v>
      </c>
    </row>
    <row r="36" spans="4:74" x14ac:dyDescent="0.25">
      <c r="F36" t="s">
        <v>1179</v>
      </c>
      <c r="H36" t="s">
        <v>1181</v>
      </c>
      <c r="J36" s="85" t="s">
        <v>1201</v>
      </c>
      <c r="K36">
        <f t="shared" si="7"/>
        <v>33</v>
      </c>
      <c r="L36" t="s">
        <v>347</v>
      </c>
      <c r="M36" t="s">
        <v>347</v>
      </c>
      <c r="N36" t="s">
        <v>347</v>
      </c>
      <c r="O36" t="s">
        <v>347</v>
      </c>
      <c r="P36" t="s">
        <v>347</v>
      </c>
      <c r="Q36" t="s">
        <v>347</v>
      </c>
      <c r="R36" t="s">
        <v>347</v>
      </c>
      <c r="S36" t="s">
        <v>347</v>
      </c>
      <c r="T36" t="s">
        <v>347</v>
      </c>
      <c r="U36" t="s">
        <v>347</v>
      </c>
      <c r="V36" t="s">
        <v>347</v>
      </c>
      <c r="W36" t="s">
        <v>359</v>
      </c>
      <c r="AF36">
        <v>15</v>
      </c>
      <c r="AG36" t="s">
        <v>713</v>
      </c>
      <c r="AH36">
        <v>15</v>
      </c>
      <c r="AI36" s="79">
        <v>0</v>
      </c>
      <c r="AJ36" s="79">
        <v>0</v>
      </c>
      <c r="AK36" s="79">
        <v>0</v>
      </c>
      <c r="AL36" s="79">
        <v>0</v>
      </c>
      <c r="AM36" s="79">
        <v>0</v>
      </c>
      <c r="AN36" s="79">
        <v>0</v>
      </c>
      <c r="AO36" s="79">
        <v>0</v>
      </c>
      <c r="AP36" s="79">
        <v>0</v>
      </c>
      <c r="AQ36" s="79">
        <v>0</v>
      </c>
      <c r="AR36" s="79">
        <v>0</v>
      </c>
      <c r="AS36" s="79">
        <v>0</v>
      </c>
      <c r="AT36" s="79">
        <v>0</v>
      </c>
      <c r="AU36" s="79">
        <v>0</v>
      </c>
      <c r="AV36" s="79">
        <v>0</v>
      </c>
      <c r="AW36" s="79">
        <v>0</v>
      </c>
      <c r="AX36" s="79">
        <v>0</v>
      </c>
      <c r="AY36" s="79">
        <v>0</v>
      </c>
      <c r="AZ36" s="79">
        <v>0</v>
      </c>
      <c r="BA36" s="79">
        <v>0</v>
      </c>
      <c r="BB36" s="79">
        <v>0</v>
      </c>
      <c r="BC36" s="79">
        <v>0</v>
      </c>
      <c r="BD36" s="79">
        <v>0</v>
      </c>
      <c r="BE36" s="79">
        <v>0</v>
      </c>
      <c r="BF36" s="79">
        <v>0</v>
      </c>
      <c r="BG36" s="79">
        <v>0</v>
      </c>
      <c r="BH36" s="79">
        <v>0</v>
      </c>
      <c r="BI36" s="79">
        <v>0</v>
      </c>
      <c r="BJ36" s="79">
        <v>0</v>
      </c>
      <c r="BK36" s="79">
        <v>0</v>
      </c>
      <c r="BL36" s="79">
        <v>0</v>
      </c>
      <c r="BM36" s="79">
        <v>0</v>
      </c>
      <c r="BN36" s="79">
        <v>0</v>
      </c>
      <c r="BO36" s="79">
        <v>0</v>
      </c>
      <c r="BP36" s="79">
        <v>0</v>
      </c>
      <c r="BQ36" s="79">
        <v>0</v>
      </c>
      <c r="BR36" s="79">
        <v>0</v>
      </c>
      <c r="BS36" s="79">
        <v>0</v>
      </c>
      <c r="BT36" s="79">
        <v>0</v>
      </c>
      <c r="BU36" s="79">
        <v>0</v>
      </c>
      <c r="BV36" s="79">
        <v>0</v>
      </c>
    </row>
    <row r="37" spans="4:74" x14ac:dyDescent="0.25">
      <c r="F37" t="s">
        <v>1180</v>
      </c>
      <c r="H37" t="s">
        <v>1182</v>
      </c>
      <c r="J37" s="85" t="s">
        <v>1199</v>
      </c>
      <c r="K37">
        <f t="shared" si="7"/>
        <v>34</v>
      </c>
      <c r="L37" t="s">
        <v>347</v>
      </c>
      <c r="M37" t="s">
        <v>347</v>
      </c>
      <c r="N37" t="s">
        <v>347</v>
      </c>
      <c r="O37" t="s">
        <v>347</v>
      </c>
      <c r="P37" t="s">
        <v>347</v>
      </c>
      <c r="Q37" t="s">
        <v>347</v>
      </c>
      <c r="R37" t="s">
        <v>347</v>
      </c>
      <c r="S37" t="s">
        <v>347</v>
      </c>
      <c r="T37" t="s">
        <v>347</v>
      </c>
      <c r="U37" t="s">
        <v>347</v>
      </c>
      <c r="V37" t="s">
        <v>347</v>
      </c>
      <c r="W37" t="s">
        <v>359</v>
      </c>
      <c r="AF37">
        <v>15</v>
      </c>
      <c r="AG37" t="s">
        <v>713</v>
      </c>
      <c r="AH37">
        <v>15</v>
      </c>
      <c r="AI37" s="79">
        <v>0</v>
      </c>
      <c r="AJ37" s="79">
        <v>0</v>
      </c>
      <c r="AK37" s="79">
        <v>0</v>
      </c>
      <c r="AL37" s="79">
        <v>0</v>
      </c>
      <c r="AM37" s="79">
        <v>0</v>
      </c>
      <c r="AN37" s="79">
        <v>0</v>
      </c>
      <c r="AO37" s="79">
        <v>0</v>
      </c>
      <c r="AP37" s="79">
        <v>0</v>
      </c>
      <c r="AQ37" s="79">
        <v>0</v>
      </c>
      <c r="AR37" s="79">
        <v>0</v>
      </c>
      <c r="AS37" s="79">
        <v>0</v>
      </c>
      <c r="AT37" s="79">
        <v>0</v>
      </c>
      <c r="AU37" s="79">
        <v>0</v>
      </c>
      <c r="AV37" s="79">
        <v>0</v>
      </c>
      <c r="AW37" s="79">
        <v>0</v>
      </c>
      <c r="AX37" s="79">
        <v>0</v>
      </c>
      <c r="AY37" s="79">
        <v>0</v>
      </c>
      <c r="AZ37" s="79">
        <v>0</v>
      </c>
      <c r="BA37" s="79">
        <v>0</v>
      </c>
      <c r="BB37" s="79">
        <v>0</v>
      </c>
      <c r="BC37" s="79">
        <v>0</v>
      </c>
      <c r="BD37" s="79">
        <v>0</v>
      </c>
      <c r="BE37" s="79">
        <v>0</v>
      </c>
      <c r="BF37" s="79">
        <v>0</v>
      </c>
      <c r="BG37" s="79">
        <v>0</v>
      </c>
      <c r="BH37" s="79">
        <v>0</v>
      </c>
      <c r="BI37" s="79">
        <v>0</v>
      </c>
      <c r="BJ37" s="79">
        <v>0</v>
      </c>
      <c r="BK37" s="79">
        <v>0</v>
      </c>
      <c r="BL37" s="79">
        <v>0</v>
      </c>
      <c r="BM37" s="79">
        <v>0</v>
      </c>
      <c r="BN37" s="79">
        <v>0</v>
      </c>
      <c r="BO37" s="79">
        <v>0</v>
      </c>
      <c r="BP37" s="79">
        <v>0</v>
      </c>
      <c r="BQ37" s="79">
        <v>0</v>
      </c>
      <c r="BR37" s="79">
        <v>0</v>
      </c>
      <c r="BS37" s="79">
        <v>0</v>
      </c>
      <c r="BT37" s="79">
        <v>0</v>
      </c>
      <c r="BU37" s="79">
        <v>0</v>
      </c>
      <c r="BV37" s="79">
        <v>0</v>
      </c>
    </row>
    <row r="38" spans="4:74" x14ac:dyDescent="0.25">
      <c r="H38" t="s">
        <v>1183</v>
      </c>
      <c r="J38" s="85" t="s">
        <v>1200</v>
      </c>
      <c r="K38">
        <f t="shared" si="7"/>
        <v>35</v>
      </c>
      <c r="L38" t="s">
        <v>347</v>
      </c>
      <c r="M38" t="s">
        <v>347</v>
      </c>
      <c r="N38" t="s">
        <v>347</v>
      </c>
      <c r="O38" t="s">
        <v>347</v>
      </c>
      <c r="P38" t="s">
        <v>347</v>
      </c>
      <c r="Q38" t="s">
        <v>347</v>
      </c>
      <c r="R38" t="s">
        <v>347</v>
      </c>
      <c r="S38" t="s">
        <v>347</v>
      </c>
      <c r="T38" t="s">
        <v>347</v>
      </c>
      <c r="U38" t="s">
        <v>347</v>
      </c>
      <c r="V38" t="s">
        <v>347</v>
      </c>
      <c r="W38" t="s">
        <v>359</v>
      </c>
      <c r="AF38">
        <v>15</v>
      </c>
      <c r="AG38" t="s">
        <v>713</v>
      </c>
      <c r="AH38">
        <v>15</v>
      </c>
      <c r="AI38" s="79">
        <v>0</v>
      </c>
      <c r="AJ38" s="79">
        <v>0</v>
      </c>
      <c r="AK38" s="79">
        <v>0</v>
      </c>
      <c r="AL38" s="79">
        <v>0</v>
      </c>
      <c r="AM38" s="79">
        <v>0</v>
      </c>
      <c r="AN38" s="79">
        <v>0</v>
      </c>
      <c r="AO38" s="79">
        <v>0</v>
      </c>
      <c r="AP38" s="79">
        <v>0</v>
      </c>
      <c r="AQ38" s="79">
        <v>0</v>
      </c>
      <c r="AR38" s="79">
        <v>0</v>
      </c>
      <c r="AS38" s="79">
        <v>0</v>
      </c>
      <c r="AT38" s="79">
        <v>0</v>
      </c>
      <c r="AU38" s="79">
        <v>0</v>
      </c>
      <c r="AV38" s="79">
        <v>0</v>
      </c>
      <c r="AW38" s="79">
        <v>0</v>
      </c>
      <c r="AX38" s="79">
        <v>0</v>
      </c>
      <c r="AY38" s="79">
        <v>0</v>
      </c>
      <c r="AZ38" s="79">
        <v>0</v>
      </c>
      <c r="BA38" s="79">
        <v>0</v>
      </c>
      <c r="BB38" s="79">
        <v>0</v>
      </c>
      <c r="BC38" s="79">
        <v>0</v>
      </c>
      <c r="BD38" s="79">
        <v>0</v>
      </c>
      <c r="BE38" s="79">
        <v>0</v>
      </c>
      <c r="BF38" s="79">
        <v>0</v>
      </c>
      <c r="BG38" s="79">
        <v>0</v>
      </c>
      <c r="BH38" s="79">
        <v>0</v>
      </c>
      <c r="BI38" s="79">
        <v>0</v>
      </c>
      <c r="BJ38" s="79">
        <v>0</v>
      </c>
      <c r="BK38" s="79">
        <v>0</v>
      </c>
      <c r="BL38" s="79">
        <v>0</v>
      </c>
      <c r="BM38" s="79">
        <v>0</v>
      </c>
      <c r="BN38" s="79">
        <v>0</v>
      </c>
      <c r="BO38" s="79">
        <v>0</v>
      </c>
      <c r="BP38" s="79">
        <v>0</v>
      </c>
      <c r="BQ38" s="79">
        <v>0</v>
      </c>
      <c r="BR38" s="79">
        <v>0</v>
      </c>
      <c r="BS38" s="79">
        <v>0</v>
      </c>
      <c r="BT38" s="79">
        <v>0</v>
      </c>
      <c r="BU38" s="79">
        <v>0</v>
      </c>
      <c r="BV38" s="79">
        <v>0</v>
      </c>
    </row>
    <row r="39" spans="4:74" x14ac:dyDescent="0.25">
      <c r="H39" t="s">
        <v>1184</v>
      </c>
      <c r="J39" s="85" t="s">
        <v>1073</v>
      </c>
      <c r="K39">
        <f t="shared" si="7"/>
        <v>36</v>
      </c>
      <c r="L39" t="s">
        <v>347</v>
      </c>
      <c r="M39" t="s">
        <v>347</v>
      </c>
      <c r="N39" t="s">
        <v>347</v>
      </c>
      <c r="O39" t="s">
        <v>347</v>
      </c>
      <c r="P39" t="s">
        <v>347</v>
      </c>
      <c r="Q39" t="s">
        <v>347</v>
      </c>
      <c r="R39" t="s">
        <v>347</v>
      </c>
      <c r="S39" t="s">
        <v>347</v>
      </c>
      <c r="T39" t="s">
        <v>347</v>
      </c>
      <c r="U39" t="s">
        <v>347</v>
      </c>
      <c r="V39" t="s">
        <v>347</v>
      </c>
      <c r="W39" t="s">
        <v>1063</v>
      </c>
      <c r="X39" t="s">
        <v>1063</v>
      </c>
      <c r="Y39" t="s">
        <v>354</v>
      </c>
      <c r="AF39">
        <v>15</v>
      </c>
      <c r="AG39" t="s">
        <v>713</v>
      </c>
      <c r="AH39">
        <v>15</v>
      </c>
      <c r="AI39" s="79">
        <v>0</v>
      </c>
      <c r="AJ39" s="79">
        <v>0</v>
      </c>
      <c r="AK39" s="79">
        <v>0</v>
      </c>
      <c r="AL39" s="79">
        <v>0</v>
      </c>
      <c r="AM39" s="79">
        <v>0</v>
      </c>
      <c r="AN39" s="79">
        <v>0</v>
      </c>
      <c r="AO39" s="79">
        <v>0</v>
      </c>
      <c r="AP39" s="79">
        <v>0</v>
      </c>
      <c r="AQ39" s="79">
        <v>0</v>
      </c>
      <c r="AR39" s="79">
        <v>0</v>
      </c>
      <c r="AS39" s="79">
        <v>0</v>
      </c>
      <c r="AT39" s="79">
        <v>0</v>
      </c>
      <c r="AU39" s="79">
        <v>0</v>
      </c>
      <c r="AV39" s="79">
        <v>0</v>
      </c>
      <c r="AW39" s="79">
        <v>0</v>
      </c>
      <c r="AX39" s="79">
        <v>0</v>
      </c>
      <c r="AY39" s="79">
        <v>0</v>
      </c>
      <c r="AZ39" s="79">
        <v>0</v>
      </c>
      <c r="BA39" s="79">
        <v>0</v>
      </c>
      <c r="BB39" s="79">
        <v>0</v>
      </c>
      <c r="BC39" s="79">
        <v>0</v>
      </c>
      <c r="BD39" s="79">
        <v>0</v>
      </c>
      <c r="BE39" s="79">
        <v>0</v>
      </c>
      <c r="BF39" s="79">
        <v>0</v>
      </c>
      <c r="BG39" s="79">
        <v>0</v>
      </c>
      <c r="BH39" s="79">
        <v>0</v>
      </c>
      <c r="BI39" s="79">
        <v>0</v>
      </c>
      <c r="BJ39" s="79">
        <v>0</v>
      </c>
      <c r="BK39" s="79">
        <v>0</v>
      </c>
      <c r="BL39" s="79">
        <v>0</v>
      </c>
      <c r="BM39" s="79">
        <v>0</v>
      </c>
      <c r="BN39" s="79">
        <v>0</v>
      </c>
      <c r="BO39" s="79">
        <v>0</v>
      </c>
      <c r="BP39" s="79">
        <v>0</v>
      </c>
      <c r="BQ39" s="79">
        <v>0</v>
      </c>
      <c r="BR39" s="79">
        <v>0</v>
      </c>
      <c r="BS39" s="79">
        <v>0</v>
      </c>
      <c r="BT39" s="79">
        <v>0</v>
      </c>
      <c r="BU39" s="79">
        <v>0</v>
      </c>
      <c r="BV39" s="79">
        <v>0</v>
      </c>
    </row>
    <row r="40" spans="4:74" x14ac:dyDescent="0.25">
      <c r="H40" t="s">
        <v>1185</v>
      </c>
      <c r="J40" s="85" t="s">
        <v>1074</v>
      </c>
      <c r="K40">
        <f t="shared" si="7"/>
        <v>37</v>
      </c>
      <c r="L40" t="s">
        <v>347</v>
      </c>
      <c r="M40" t="s">
        <v>347</v>
      </c>
      <c r="N40" t="s">
        <v>347</v>
      </c>
      <c r="O40" t="s">
        <v>347</v>
      </c>
      <c r="P40" t="s">
        <v>347</v>
      </c>
      <c r="Q40" t="s">
        <v>347</v>
      </c>
      <c r="R40" t="s">
        <v>347</v>
      </c>
      <c r="S40" t="s">
        <v>347</v>
      </c>
      <c r="T40" t="s">
        <v>347</v>
      </c>
      <c r="U40" t="s">
        <v>347</v>
      </c>
      <c r="V40" t="s">
        <v>347</v>
      </c>
      <c r="W40" t="s">
        <v>1063</v>
      </c>
      <c r="X40" t="s">
        <v>1063</v>
      </c>
      <c r="Y40" t="s">
        <v>354</v>
      </c>
      <c r="AF40">
        <v>15</v>
      </c>
      <c r="AG40" t="s">
        <v>713</v>
      </c>
      <c r="AH40">
        <v>15</v>
      </c>
      <c r="AI40" s="79">
        <v>0</v>
      </c>
      <c r="AJ40" s="79">
        <v>0</v>
      </c>
      <c r="AK40" s="79">
        <v>0</v>
      </c>
      <c r="AL40" s="79">
        <v>0</v>
      </c>
      <c r="AM40" s="79">
        <v>0</v>
      </c>
      <c r="AN40" s="79">
        <v>0</v>
      </c>
      <c r="AO40" s="79">
        <v>0</v>
      </c>
      <c r="AP40" s="79">
        <v>0</v>
      </c>
      <c r="AQ40" s="79">
        <v>0</v>
      </c>
      <c r="AR40" s="79">
        <v>0</v>
      </c>
      <c r="AS40" s="79">
        <v>0</v>
      </c>
      <c r="AT40" s="79">
        <v>0</v>
      </c>
      <c r="AU40" s="79">
        <v>0</v>
      </c>
      <c r="AV40" s="79">
        <v>0</v>
      </c>
      <c r="AW40" s="79">
        <v>0</v>
      </c>
      <c r="AX40" s="79">
        <v>0</v>
      </c>
      <c r="AY40" s="79">
        <v>0</v>
      </c>
      <c r="AZ40" s="79">
        <v>0</v>
      </c>
      <c r="BA40" s="79">
        <v>0</v>
      </c>
      <c r="BB40" s="79">
        <v>0</v>
      </c>
      <c r="BC40" s="79">
        <v>0</v>
      </c>
      <c r="BD40" s="79">
        <v>0</v>
      </c>
      <c r="BE40" s="79">
        <v>0</v>
      </c>
      <c r="BF40" s="79">
        <v>0</v>
      </c>
      <c r="BG40" s="79">
        <v>0</v>
      </c>
      <c r="BH40" s="79">
        <v>0</v>
      </c>
      <c r="BI40" s="79">
        <v>0</v>
      </c>
      <c r="BJ40" s="79">
        <v>0</v>
      </c>
      <c r="BK40" s="79">
        <v>0</v>
      </c>
      <c r="BL40" s="79">
        <v>0</v>
      </c>
      <c r="BM40" s="79">
        <v>0</v>
      </c>
      <c r="BN40" s="79">
        <v>0</v>
      </c>
      <c r="BO40" s="79">
        <v>0</v>
      </c>
      <c r="BP40" s="79">
        <v>0</v>
      </c>
      <c r="BQ40" s="79">
        <v>0</v>
      </c>
      <c r="BR40" s="79">
        <v>0</v>
      </c>
      <c r="BS40" s="79">
        <v>0</v>
      </c>
      <c r="BT40" s="79">
        <v>0</v>
      </c>
      <c r="BU40" s="79">
        <v>0</v>
      </c>
      <c r="BV40" s="79">
        <v>0</v>
      </c>
    </row>
    <row r="41" spans="4:74" x14ac:dyDescent="0.25">
      <c r="H41" t="s">
        <v>1186</v>
      </c>
      <c r="J41" s="85" t="s">
        <v>1075</v>
      </c>
      <c r="K41">
        <f t="shared" si="7"/>
        <v>38</v>
      </c>
      <c r="L41" t="s">
        <v>347</v>
      </c>
      <c r="M41" t="s">
        <v>347</v>
      </c>
      <c r="N41" t="s">
        <v>347</v>
      </c>
      <c r="O41" t="s">
        <v>347</v>
      </c>
      <c r="P41" t="s">
        <v>347</v>
      </c>
      <c r="Q41" t="s">
        <v>347</v>
      </c>
      <c r="R41" t="s">
        <v>347</v>
      </c>
      <c r="S41" t="s">
        <v>347</v>
      </c>
      <c r="T41" t="s">
        <v>347</v>
      </c>
      <c r="U41" t="s">
        <v>347</v>
      </c>
      <c r="V41" t="s">
        <v>347</v>
      </c>
      <c r="W41" t="s">
        <v>1063</v>
      </c>
      <c r="X41" t="s">
        <v>1063</v>
      </c>
      <c r="Y41" t="s">
        <v>354</v>
      </c>
      <c r="AF41">
        <v>15</v>
      </c>
      <c r="AG41" t="s">
        <v>713</v>
      </c>
      <c r="AH41">
        <v>15</v>
      </c>
      <c r="AI41" s="79">
        <v>0</v>
      </c>
      <c r="AJ41" s="79">
        <v>0</v>
      </c>
      <c r="AK41" s="79">
        <v>0</v>
      </c>
      <c r="AL41" s="79">
        <v>0</v>
      </c>
      <c r="AM41" s="79">
        <v>0</v>
      </c>
      <c r="AN41" s="79">
        <v>0</v>
      </c>
      <c r="AO41" s="79">
        <v>0</v>
      </c>
      <c r="AP41" s="79">
        <v>0</v>
      </c>
      <c r="AQ41" s="79">
        <v>0</v>
      </c>
      <c r="AR41" s="79">
        <v>0</v>
      </c>
      <c r="AS41" s="79">
        <v>0</v>
      </c>
      <c r="AT41" s="79">
        <v>0</v>
      </c>
      <c r="AU41" s="79">
        <v>0</v>
      </c>
      <c r="AV41" s="79">
        <v>0</v>
      </c>
      <c r="AW41" s="79">
        <v>0</v>
      </c>
      <c r="AX41" s="79">
        <v>0</v>
      </c>
      <c r="AY41" s="79">
        <v>0</v>
      </c>
      <c r="AZ41" s="79">
        <v>0</v>
      </c>
      <c r="BA41" s="79">
        <v>0</v>
      </c>
      <c r="BB41" s="79">
        <v>0</v>
      </c>
      <c r="BC41" s="79">
        <v>0</v>
      </c>
      <c r="BD41" s="79">
        <v>0</v>
      </c>
      <c r="BE41" s="79">
        <v>0</v>
      </c>
      <c r="BF41" s="79">
        <v>0</v>
      </c>
      <c r="BG41" s="79">
        <v>0</v>
      </c>
      <c r="BH41" s="79">
        <v>0</v>
      </c>
      <c r="BI41" s="79">
        <v>0</v>
      </c>
      <c r="BJ41" s="79">
        <v>0</v>
      </c>
      <c r="BK41" s="79">
        <v>0</v>
      </c>
      <c r="BL41" s="79">
        <v>0</v>
      </c>
      <c r="BM41" s="79">
        <v>0</v>
      </c>
      <c r="BN41" s="79">
        <v>0</v>
      </c>
      <c r="BO41" s="79">
        <v>0</v>
      </c>
      <c r="BP41" s="79">
        <v>0</v>
      </c>
      <c r="BQ41" s="79">
        <v>0</v>
      </c>
      <c r="BR41" s="79">
        <v>0</v>
      </c>
      <c r="BS41" s="79">
        <v>0</v>
      </c>
      <c r="BT41" s="79">
        <v>0</v>
      </c>
      <c r="BU41" s="79">
        <v>0</v>
      </c>
      <c r="BV41" s="79">
        <v>0</v>
      </c>
    </row>
    <row r="42" spans="4:74" x14ac:dyDescent="0.25">
      <c r="J42" s="85" t="s">
        <v>1076</v>
      </c>
      <c r="K42">
        <f t="shared" si="7"/>
        <v>39</v>
      </c>
      <c r="L42" t="s">
        <v>347</v>
      </c>
      <c r="M42" t="s">
        <v>347</v>
      </c>
      <c r="N42" t="s">
        <v>347</v>
      </c>
      <c r="O42" t="s">
        <v>347</v>
      </c>
      <c r="P42" t="s">
        <v>347</v>
      </c>
      <c r="Q42" t="s">
        <v>347</v>
      </c>
      <c r="R42" t="s">
        <v>347</v>
      </c>
      <c r="S42" t="s">
        <v>347</v>
      </c>
      <c r="T42" t="s">
        <v>347</v>
      </c>
      <c r="U42" t="s">
        <v>347</v>
      </c>
      <c r="V42" t="s">
        <v>347</v>
      </c>
      <c r="W42" t="s">
        <v>1063</v>
      </c>
      <c r="X42" t="s">
        <v>1063</v>
      </c>
      <c r="Y42" t="s">
        <v>354</v>
      </c>
      <c r="AF42">
        <v>15</v>
      </c>
      <c r="AG42" t="s">
        <v>713</v>
      </c>
      <c r="AH42">
        <v>15</v>
      </c>
      <c r="AI42" s="79">
        <v>0</v>
      </c>
      <c r="AJ42" s="79">
        <v>0</v>
      </c>
      <c r="AK42" s="79">
        <v>0</v>
      </c>
      <c r="AL42" s="79">
        <v>0</v>
      </c>
      <c r="AM42" s="79">
        <v>0</v>
      </c>
      <c r="AN42" s="79">
        <v>0</v>
      </c>
      <c r="AO42" s="79">
        <v>0</v>
      </c>
      <c r="AP42" s="79">
        <v>0</v>
      </c>
      <c r="AQ42" s="79">
        <v>0</v>
      </c>
      <c r="AR42" s="79">
        <v>0</v>
      </c>
      <c r="AS42" s="79">
        <v>0</v>
      </c>
      <c r="AT42" s="79">
        <v>0</v>
      </c>
      <c r="AU42" s="79">
        <v>0</v>
      </c>
      <c r="AV42" s="79">
        <v>0</v>
      </c>
      <c r="AW42" s="79">
        <v>0</v>
      </c>
      <c r="AX42" s="79">
        <v>0</v>
      </c>
      <c r="AY42" s="79">
        <v>0</v>
      </c>
      <c r="AZ42" s="79">
        <v>0</v>
      </c>
      <c r="BA42" s="79">
        <v>0</v>
      </c>
      <c r="BB42" s="79">
        <v>0</v>
      </c>
      <c r="BC42" s="79">
        <v>0</v>
      </c>
      <c r="BD42" s="79">
        <v>0</v>
      </c>
      <c r="BE42" s="79">
        <v>0</v>
      </c>
      <c r="BF42" s="79">
        <v>0</v>
      </c>
      <c r="BG42" s="79">
        <v>0</v>
      </c>
      <c r="BH42" s="79">
        <v>0</v>
      </c>
      <c r="BI42" s="79">
        <v>0</v>
      </c>
      <c r="BJ42" s="79">
        <v>0</v>
      </c>
      <c r="BK42" s="79">
        <v>0</v>
      </c>
      <c r="BL42" s="79">
        <v>0</v>
      </c>
      <c r="BM42" s="79">
        <v>0</v>
      </c>
      <c r="BN42" s="79">
        <v>0</v>
      </c>
      <c r="BO42" s="79">
        <v>0</v>
      </c>
      <c r="BP42" s="79">
        <v>0</v>
      </c>
      <c r="BQ42" s="79">
        <v>0</v>
      </c>
      <c r="BR42" s="79">
        <v>0</v>
      </c>
      <c r="BS42" s="79">
        <v>0</v>
      </c>
      <c r="BT42" s="79">
        <v>0</v>
      </c>
      <c r="BU42" s="79">
        <v>0</v>
      </c>
      <c r="BV42" s="79">
        <v>0</v>
      </c>
    </row>
    <row r="43" spans="4:74" x14ac:dyDescent="0.25">
      <c r="H43" s="85" t="s">
        <v>1187</v>
      </c>
      <c r="J43" s="85" t="s">
        <v>1077</v>
      </c>
      <c r="K43">
        <f t="shared" si="7"/>
        <v>40</v>
      </c>
      <c r="L43" t="s">
        <v>347</v>
      </c>
      <c r="M43" t="s">
        <v>347</v>
      </c>
      <c r="N43" t="s">
        <v>347</v>
      </c>
      <c r="O43" t="s">
        <v>347</v>
      </c>
      <c r="P43" t="s">
        <v>347</v>
      </c>
      <c r="Q43" t="s">
        <v>347</v>
      </c>
      <c r="R43" t="s">
        <v>347</v>
      </c>
      <c r="S43" t="s">
        <v>347</v>
      </c>
      <c r="T43" t="s">
        <v>347</v>
      </c>
      <c r="U43" t="s">
        <v>347</v>
      </c>
      <c r="V43" t="s">
        <v>347</v>
      </c>
      <c r="W43" t="s">
        <v>1063</v>
      </c>
      <c r="X43" t="s">
        <v>1063</v>
      </c>
      <c r="Y43" t="s">
        <v>354</v>
      </c>
      <c r="AF43">
        <v>15</v>
      </c>
      <c r="AG43" t="s">
        <v>713</v>
      </c>
      <c r="AH43">
        <v>15</v>
      </c>
      <c r="AI43" s="79">
        <v>0</v>
      </c>
      <c r="AJ43" s="79">
        <v>0</v>
      </c>
      <c r="AK43" s="79">
        <v>0</v>
      </c>
      <c r="AL43" s="79">
        <v>0</v>
      </c>
      <c r="AM43" s="79">
        <v>0</v>
      </c>
      <c r="AN43" s="79">
        <v>0</v>
      </c>
      <c r="AO43" s="79">
        <v>0</v>
      </c>
      <c r="AP43" s="79">
        <v>0</v>
      </c>
      <c r="AQ43" s="79">
        <v>0</v>
      </c>
      <c r="AR43" s="79">
        <v>0</v>
      </c>
      <c r="AS43" s="79">
        <v>0</v>
      </c>
      <c r="AT43" s="79">
        <v>0</v>
      </c>
      <c r="AU43" s="79">
        <v>0</v>
      </c>
      <c r="AV43" s="79">
        <v>0</v>
      </c>
      <c r="AW43" s="79">
        <v>0</v>
      </c>
      <c r="AX43" s="79">
        <v>0</v>
      </c>
      <c r="AY43" s="79">
        <v>0</v>
      </c>
      <c r="AZ43" s="79">
        <v>0</v>
      </c>
      <c r="BA43" s="79">
        <v>0</v>
      </c>
      <c r="BB43" s="79">
        <v>0</v>
      </c>
      <c r="BC43" s="79">
        <v>0</v>
      </c>
      <c r="BD43" s="79">
        <v>0</v>
      </c>
      <c r="BE43" s="79">
        <v>0</v>
      </c>
      <c r="BF43" s="79">
        <v>0</v>
      </c>
      <c r="BG43" s="79">
        <v>0</v>
      </c>
      <c r="BH43" s="79">
        <v>0</v>
      </c>
      <c r="BI43" s="79">
        <v>0</v>
      </c>
      <c r="BJ43" s="79">
        <v>0</v>
      </c>
      <c r="BK43" s="79">
        <v>0</v>
      </c>
      <c r="BL43" s="79">
        <v>0</v>
      </c>
      <c r="BM43" s="79">
        <v>0</v>
      </c>
      <c r="BN43" s="79">
        <v>0</v>
      </c>
      <c r="BO43" s="79">
        <v>0</v>
      </c>
      <c r="BP43" s="79">
        <v>0</v>
      </c>
      <c r="BQ43" s="79">
        <v>0</v>
      </c>
      <c r="BR43" s="79">
        <v>0</v>
      </c>
      <c r="BS43" s="79">
        <v>0</v>
      </c>
      <c r="BT43" s="79">
        <v>0</v>
      </c>
      <c r="BU43" s="79">
        <v>0</v>
      </c>
      <c r="BV43" s="79">
        <v>0</v>
      </c>
    </row>
    <row r="44" spans="4:74" x14ac:dyDescent="0.25">
      <c r="H44" t="s">
        <v>391</v>
      </c>
      <c r="J44" s="85" t="s">
        <v>1078</v>
      </c>
      <c r="K44">
        <f t="shared" si="7"/>
        <v>41</v>
      </c>
      <c r="L44" t="s">
        <v>347</v>
      </c>
      <c r="M44" t="s">
        <v>347</v>
      </c>
      <c r="N44" t="s">
        <v>347</v>
      </c>
      <c r="O44" t="s">
        <v>347</v>
      </c>
      <c r="P44" t="s">
        <v>347</v>
      </c>
      <c r="Q44" t="s">
        <v>347</v>
      </c>
      <c r="R44" t="s">
        <v>347</v>
      </c>
      <c r="S44" t="s">
        <v>347</v>
      </c>
      <c r="T44" t="s">
        <v>347</v>
      </c>
      <c r="U44" t="s">
        <v>347</v>
      </c>
      <c r="V44" t="s">
        <v>347</v>
      </c>
      <c r="W44" t="s">
        <v>1063</v>
      </c>
      <c r="X44" t="s">
        <v>1063</v>
      </c>
      <c r="Y44" t="s">
        <v>1064</v>
      </c>
      <c r="AF44">
        <v>15</v>
      </c>
      <c r="AG44" t="s">
        <v>713</v>
      </c>
      <c r="AH44">
        <v>15</v>
      </c>
      <c r="AI44" s="79">
        <v>0</v>
      </c>
      <c r="AJ44" s="79">
        <v>0</v>
      </c>
      <c r="AK44" s="79">
        <v>0</v>
      </c>
      <c r="AL44" s="79">
        <v>0</v>
      </c>
      <c r="AM44" s="79">
        <v>0</v>
      </c>
      <c r="AN44" s="79">
        <v>0</v>
      </c>
      <c r="AO44" s="79">
        <v>0</v>
      </c>
      <c r="AP44" s="79">
        <v>0</v>
      </c>
      <c r="AQ44" s="79">
        <v>0</v>
      </c>
      <c r="AR44" s="79">
        <v>0</v>
      </c>
      <c r="AS44" s="79">
        <v>0</v>
      </c>
      <c r="AT44" s="79">
        <v>0</v>
      </c>
      <c r="AU44" s="79">
        <v>0</v>
      </c>
      <c r="AV44" s="79">
        <v>0</v>
      </c>
      <c r="AW44" s="79">
        <v>0</v>
      </c>
      <c r="AX44" s="79">
        <v>0</v>
      </c>
      <c r="AY44" s="79">
        <v>0</v>
      </c>
      <c r="AZ44" s="79">
        <v>0</v>
      </c>
      <c r="BA44" s="79">
        <v>0</v>
      </c>
      <c r="BB44" s="79">
        <v>0</v>
      </c>
      <c r="BC44" s="79">
        <v>0</v>
      </c>
      <c r="BD44" s="79">
        <v>0</v>
      </c>
      <c r="BE44" s="79">
        <v>0</v>
      </c>
      <c r="BF44" s="79">
        <v>0</v>
      </c>
      <c r="BG44" s="79">
        <v>0</v>
      </c>
      <c r="BH44" s="79">
        <v>0</v>
      </c>
      <c r="BI44" s="79">
        <v>0</v>
      </c>
      <c r="BJ44" s="79">
        <v>0</v>
      </c>
      <c r="BK44" s="79">
        <v>0</v>
      </c>
      <c r="BL44" s="79">
        <v>0</v>
      </c>
      <c r="BM44" s="79">
        <v>0</v>
      </c>
      <c r="BN44" s="79">
        <v>0</v>
      </c>
      <c r="BO44" s="79">
        <v>0</v>
      </c>
      <c r="BP44" s="79">
        <v>0</v>
      </c>
      <c r="BQ44" s="79">
        <v>0</v>
      </c>
      <c r="BR44" s="79">
        <v>0</v>
      </c>
      <c r="BS44" s="79">
        <v>0</v>
      </c>
      <c r="BT44" s="79">
        <v>0</v>
      </c>
      <c r="BU44" s="79">
        <v>0</v>
      </c>
      <c r="BV44" s="79">
        <v>0</v>
      </c>
    </row>
    <row r="45" spans="4:74" x14ac:dyDescent="0.25">
      <c r="H45" t="s">
        <v>324</v>
      </c>
      <c r="J45" s="85" t="s">
        <v>1079</v>
      </c>
      <c r="K45">
        <f t="shared" si="7"/>
        <v>42</v>
      </c>
      <c r="L45" t="s">
        <v>347</v>
      </c>
      <c r="M45" t="s">
        <v>347</v>
      </c>
      <c r="N45" t="s">
        <v>347</v>
      </c>
      <c r="O45" t="s">
        <v>347</v>
      </c>
      <c r="P45" t="s">
        <v>347</v>
      </c>
      <c r="Q45" t="s">
        <v>347</v>
      </c>
      <c r="R45" t="s">
        <v>347</v>
      </c>
      <c r="S45" t="s">
        <v>347</v>
      </c>
      <c r="T45" t="s">
        <v>347</v>
      </c>
      <c r="U45" t="s">
        <v>347</v>
      </c>
      <c r="V45" t="s">
        <v>347</v>
      </c>
      <c r="W45" t="s">
        <v>1063</v>
      </c>
      <c r="X45" t="s">
        <v>1063</v>
      </c>
      <c r="Y45" t="s">
        <v>1064</v>
      </c>
      <c r="AF45">
        <v>15</v>
      </c>
      <c r="AG45" t="s">
        <v>713</v>
      </c>
      <c r="AH45">
        <v>15</v>
      </c>
      <c r="AI45" s="79">
        <v>0</v>
      </c>
      <c r="AJ45" s="79">
        <v>0</v>
      </c>
      <c r="AK45" s="79">
        <v>0</v>
      </c>
      <c r="AL45" s="79">
        <v>0</v>
      </c>
      <c r="AM45" s="79">
        <v>0</v>
      </c>
      <c r="AN45" s="79">
        <v>0</v>
      </c>
      <c r="AO45" s="79">
        <v>0</v>
      </c>
      <c r="AP45" s="79">
        <v>0</v>
      </c>
      <c r="AQ45" s="79">
        <v>0</v>
      </c>
      <c r="AR45" s="79">
        <v>0</v>
      </c>
      <c r="AS45" s="79">
        <v>0</v>
      </c>
      <c r="AT45" s="79">
        <v>0</v>
      </c>
      <c r="AU45" s="79">
        <v>0</v>
      </c>
      <c r="AV45" s="79">
        <v>0</v>
      </c>
      <c r="AW45" s="79">
        <v>0</v>
      </c>
      <c r="AX45" s="79">
        <v>0</v>
      </c>
      <c r="AY45" s="79">
        <v>0</v>
      </c>
      <c r="AZ45" s="79">
        <v>0</v>
      </c>
      <c r="BA45" s="79">
        <v>0</v>
      </c>
      <c r="BB45" s="79">
        <v>0</v>
      </c>
      <c r="BC45" s="79">
        <v>0</v>
      </c>
      <c r="BD45" s="79">
        <v>0</v>
      </c>
      <c r="BE45" s="79">
        <v>0</v>
      </c>
      <c r="BF45" s="79">
        <v>0</v>
      </c>
      <c r="BG45" s="79">
        <v>0</v>
      </c>
      <c r="BH45" s="79">
        <v>0</v>
      </c>
      <c r="BI45" s="79">
        <v>0</v>
      </c>
      <c r="BJ45" s="79">
        <v>0</v>
      </c>
      <c r="BK45" s="79">
        <v>0</v>
      </c>
      <c r="BL45" s="79">
        <v>0</v>
      </c>
      <c r="BM45" s="79">
        <v>0</v>
      </c>
      <c r="BN45" s="79">
        <v>0</v>
      </c>
      <c r="BO45" s="79">
        <v>0</v>
      </c>
      <c r="BP45" s="79">
        <v>0</v>
      </c>
      <c r="BQ45" s="79">
        <v>0</v>
      </c>
      <c r="BR45" s="79">
        <v>0</v>
      </c>
      <c r="BS45" s="79">
        <v>0</v>
      </c>
      <c r="BT45" s="79">
        <v>0</v>
      </c>
      <c r="BU45" s="79">
        <v>0</v>
      </c>
      <c r="BV45" s="79">
        <v>0</v>
      </c>
    </row>
    <row r="46" spans="4:74" x14ac:dyDescent="0.25">
      <c r="J46" s="85" t="s">
        <v>1080</v>
      </c>
      <c r="K46">
        <f t="shared" si="7"/>
        <v>43</v>
      </c>
      <c r="L46" t="s">
        <v>347</v>
      </c>
      <c r="M46" t="s">
        <v>347</v>
      </c>
      <c r="N46" t="s">
        <v>347</v>
      </c>
      <c r="O46" t="s">
        <v>347</v>
      </c>
      <c r="P46" t="s">
        <v>347</v>
      </c>
      <c r="Q46" t="s">
        <v>347</v>
      </c>
      <c r="R46" t="s">
        <v>347</v>
      </c>
      <c r="S46" t="s">
        <v>347</v>
      </c>
      <c r="T46" t="s">
        <v>347</v>
      </c>
      <c r="U46" t="s">
        <v>347</v>
      </c>
      <c r="V46" t="s">
        <v>347</v>
      </c>
      <c r="W46" t="s">
        <v>1063</v>
      </c>
      <c r="X46" t="s">
        <v>1063</v>
      </c>
      <c r="Y46" t="s">
        <v>1064</v>
      </c>
      <c r="AF46">
        <v>15</v>
      </c>
      <c r="AG46" t="s">
        <v>713</v>
      </c>
      <c r="AH46">
        <v>15</v>
      </c>
      <c r="AI46" s="79">
        <v>0</v>
      </c>
      <c r="AJ46" s="79">
        <v>0</v>
      </c>
      <c r="AK46" s="79">
        <v>0</v>
      </c>
      <c r="AL46" s="79">
        <v>0</v>
      </c>
      <c r="AM46" s="79">
        <v>0</v>
      </c>
      <c r="AN46" s="79">
        <v>0</v>
      </c>
      <c r="AO46" s="79">
        <v>0</v>
      </c>
      <c r="AP46" s="79">
        <v>0</v>
      </c>
      <c r="AQ46" s="79">
        <v>0</v>
      </c>
      <c r="AR46" s="79">
        <v>0</v>
      </c>
      <c r="AS46" s="79">
        <v>0</v>
      </c>
      <c r="AT46" s="79">
        <v>0</v>
      </c>
      <c r="AU46" s="79">
        <v>0</v>
      </c>
      <c r="AV46" s="79">
        <v>0</v>
      </c>
      <c r="AW46" s="79">
        <v>0</v>
      </c>
      <c r="AX46" s="79">
        <v>0</v>
      </c>
      <c r="AY46" s="79">
        <v>0</v>
      </c>
      <c r="AZ46" s="79">
        <v>0</v>
      </c>
      <c r="BA46" s="79">
        <v>0</v>
      </c>
      <c r="BB46" s="79">
        <v>0</v>
      </c>
      <c r="BC46" s="79">
        <v>0</v>
      </c>
      <c r="BD46" s="79">
        <v>0</v>
      </c>
      <c r="BE46" s="79">
        <v>0</v>
      </c>
      <c r="BF46" s="79">
        <v>0</v>
      </c>
      <c r="BG46" s="79">
        <v>0</v>
      </c>
      <c r="BH46" s="79">
        <v>0</v>
      </c>
      <c r="BI46" s="79">
        <v>0</v>
      </c>
      <c r="BJ46" s="79">
        <v>0</v>
      </c>
      <c r="BK46" s="79">
        <v>0</v>
      </c>
      <c r="BL46" s="79">
        <v>0</v>
      </c>
      <c r="BM46" s="79">
        <v>0</v>
      </c>
      <c r="BN46" s="79">
        <v>0</v>
      </c>
      <c r="BO46" s="79">
        <v>0</v>
      </c>
      <c r="BP46" s="79">
        <v>0</v>
      </c>
      <c r="BQ46" s="79">
        <v>0</v>
      </c>
      <c r="BR46" s="79">
        <v>0</v>
      </c>
      <c r="BS46" s="79">
        <v>0</v>
      </c>
      <c r="BT46" s="79">
        <v>0</v>
      </c>
      <c r="BU46" s="79">
        <v>0</v>
      </c>
      <c r="BV46" s="79">
        <v>0</v>
      </c>
    </row>
    <row r="47" spans="4:74" x14ac:dyDescent="0.25">
      <c r="H47" s="85" t="s">
        <v>60</v>
      </c>
      <c r="J47" s="85" t="s">
        <v>1551</v>
      </c>
      <c r="K47">
        <v>44</v>
      </c>
      <c r="L47" t="s">
        <v>347</v>
      </c>
      <c r="M47" t="s">
        <v>347</v>
      </c>
      <c r="N47" t="s">
        <v>347</v>
      </c>
      <c r="O47" t="s">
        <v>347</v>
      </c>
      <c r="P47" t="s">
        <v>347</v>
      </c>
      <c r="Q47" t="s">
        <v>347</v>
      </c>
      <c r="R47" t="s">
        <v>347</v>
      </c>
      <c r="S47" t="s">
        <v>347</v>
      </c>
      <c r="T47" t="s">
        <v>347</v>
      </c>
      <c r="U47" t="s">
        <v>347</v>
      </c>
      <c r="V47" t="s">
        <v>347</v>
      </c>
      <c r="W47" t="s">
        <v>1063</v>
      </c>
      <c r="X47" t="s">
        <v>1063</v>
      </c>
      <c r="Y47" t="s">
        <v>354</v>
      </c>
      <c r="AG47" t="s">
        <v>713</v>
      </c>
      <c r="AH47">
        <v>15</v>
      </c>
    </row>
    <row r="48" spans="4:74" x14ac:dyDescent="0.25">
      <c r="H48" t="s">
        <v>339</v>
      </c>
      <c r="J48" s="85" t="s">
        <v>1552</v>
      </c>
      <c r="K48">
        <v>45</v>
      </c>
      <c r="L48" t="s">
        <v>347</v>
      </c>
      <c r="M48" t="s">
        <v>347</v>
      </c>
      <c r="N48" t="s">
        <v>347</v>
      </c>
      <c r="O48" t="s">
        <v>347</v>
      </c>
      <c r="P48" t="s">
        <v>347</v>
      </c>
      <c r="Q48" t="s">
        <v>347</v>
      </c>
      <c r="R48" t="s">
        <v>347</v>
      </c>
      <c r="S48" t="s">
        <v>347</v>
      </c>
      <c r="T48" t="s">
        <v>347</v>
      </c>
      <c r="U48" t="s">
        <v>347</v>
      </c>
      <c r="V48" t="s">
        <v>347</v>
      </c>
      <c r="W48" t="s">
        <v>1063</v>
      </c>
      <c r="X48" t="s">
        <v>1063</v>
      </c>
      <c r="Y48" t="s">
        <v>354</v>
      </c>
      <c r="AG48" t="s">
        <v>713</v>
      </c>
      <c r="AH48">
        <v>15</v>
      </c>
    </row>
    <row r="49" spans="8:43" x14ac:dyDescent="0.25">
      <c r="H49" t="s">
        <v>340</v>
      </c>
      <c r="J49" s="85" t="s">
        <v>1553</v>
      </c>
      <c r="K49">
        <v>46</v>
      </c>
      <c r="L49" t="s">
        <v>347</v>
      </c>
      <c r="M49" t="s">
        <v>347</v>
      </c>
      <c r="N49" t="s">
        <v>347</v>
      </c>
      <c r="O49" t="s">
        <v>347</v>
      </c>
      <c r="P49" t="s">
        <v>347</v>
      </c>
      <c r="Q49" t="s">
        <v>347</v>
      </c>
      <c r="R49" t="s">
        <v>347</v>
      </c>
      <c r="S49" t="s">
        <v>347</v>
      </c>
      <c r="T49" t="s">
        <v>347</v>
      </c>
      <c r="U49" t="s">
        <v>347</v>
      </c>
      <c r="V49" t="s">
        <v>347</v>
      </c>
      <c r="W49" t="s">
        <v>1063</v>
      </c>
      <c r="X49" t="s">
        <v>1063</v>
      </c>
      <c r="Y49" t="s">
        <v>354</v>
      </c>
      <c r="AG49" t="s">
        <v>713</v>
      </c>
      <c r="AH49">
        <v>15</v>
      </c>
    </row>
    <row r="50" spans="8:43" x14ac:dyDescent="0.25">
      <c r="J50" s="85" t="s">
        <v>1554</v>
      </c>
      <c r="K50">
        <v>47</v>
      </c>
      <c r="L50" t="s">
        <v>347</v>
      </c>
      <c r="M50" t="s">
        <v>347</v>
      </c>
      <c r="N50" t="s">
        <v>347</v>
      </c>
      <c r="O50" t="s">
        <v>347</v>
      </c>
      <c r="P50" t="s">
        <v>347</v>
      </c>
      <c r="Q50" t="s">
        <v>347</v>
      </c>
      <c r="R50" t="s">
        <v>347</v>
      </c>
      <c r="S50" t="s">
        <v>347</v>
      </c>
      <c r="T50" t="s">
        <v>347</v>
      </c>
      <c r="U50" t="s">
        <v>347</v>
      </c>
      <c r="V50" t="s">
        <v>347</v>
      </c>
      <c r="W50" t="s">
        <v>1063</v>
      </c>
      <c r="X50" t="s">
        <v>1063</v>
      </c>
      <c r="Y50" t="s">
        <v>354</v>
      </c>
      <c r="AG50" t="s">
        <v>713</v>
      </c>
      <c r="AH50">
        <v>15</v>
      </c>
    </row>
    <row r="51" spans="8:43" x14ac:dyDescent="0.25">
      <c r="H51" s="85" t="s">
        <v>61</v>
      </c>
    </row>
    <row r="52" spans="8:43" x14ac:dyDescent="0.25">
      <c r="H52" t="s">
        <v>339</v>
      </c>
      <c r="J52" s="635" t="s">
        <v>1314</v>
      </c>
      <c r="L52" s="1" t="s">
        <v>1444</v>
      </c>
      <c r="M52" s="1"/>
      <c r="N52" s="1" t="s">
        <v>1443</v>
      </c>
      <c r="O52" s="1"/>
      <c r="P52" s="1" t="s">
        <v>1316</v>
      </c>
      <c r="Q52" s="1"/>
      <c r="R52" s="1" t="s">
        <v>1317</v>
      </c>
      <c r="S52" s="1"/>
      <c r="T52" s="1" t="s">
        <v>1318</v>
      </c>
      <c r="U52" s="1"/>
      <c r="V52" s="1" t="s">
        <v>1319</v>
      </c>
      <c r="W52" s="1"/>
      <c r="X52" s="1" t="s">
        <v>1320</v>
      </c>
      <c r="Y52" s="1"/>
      <c r="Z52" s="1" t="s">
        <v>1321</v>
      </c>
      <c r="AA52" s="1"/>
      <c r="AB52" s="1" t="s">
        <v>1322</v>
      </c>
      <c r="AC52" s="1"/>
      <c r="AD52" s="1" t="s">
        <v>1323</v>
      </c>
      <c r="AE52" s="1"/>
      <c r="AF52" s="1" t="s">
        <v>1325</v>
      </c>
      <c r="AG52" s="1"/>
      <c r="AH52" s="1" t="s">
        <v>1324</v>
      </c>
      <c r="AI52" s="1"/>
      <c r="AJ52" s="1" t="s">
        <v>1326</v>
      </c>
      <c r="AK52" s="1"/>
      <c r="AL52" s="1" t="s">
        <v>1327</v>
      </c>
      <c r="AM52" s="1"/>
      <c r="AN52" s="1" t="s">
        <v>1328</v>
      </c>
      <c r="AO52" s="1"/>
      <c r="AP52" s="1" t="s">
        <v>1329</v>
      </c>
      <c r="AQ52" s="1"/>
    </row>
    <row r="53" spans="8:43" x14ac:dyDescent="0.25">
      <c r="H53" t="s">
        <v>340</v>
      </c>
      <c r="J53" s="85" t="s">
        <v>1315</v>
      </c>
      <c r="L53" s="637" t="s">
        <v>1313</v>
      </c>
      <c r="M53" s="637" t="s">
        <v>1312</v>
      </c>
      <c r="N53" s="636" t="s">
        <v>1313</v>
      </c>
      <c r="O53" s="636" t="s">
        <v>1312</v>
      </c>
      <c r="P53" s="637" t="s">
        <v>1313</v>
      </c>
      <c r="Q53" s="637" t="s">
        <v>1312</v>
      </c>
      <c r="R53" s="636" t="s">
        <v>1313</v>
      </c>
      <c r="S53" s="636" t="s">
        <v>1312</v>
      </c>
      <c r="T53" s="637" t="s">
        <v>1313</v>
      </c>
      <c r="U53" s="637" t="s">
        <v>1312</v>
      </c>
      <c r="V53" s="636" t="s">
        <v>1313</v>
      </c>
      <c r="W53" s="636" t="s">
        <v>1312</v>
      </c>
      <c r="X53" s="637" t="s">
        <v>1313</v>
      </c>
      <c r="Y53" s="637" t="s">
        <v>1312</v>
      </c>
      <c r="Z53" s="636" t="s">
        <v>1313</v>
      </c>
      <c r="AA53" s="636" t="s">
        <v>1312</v>
      </c>
      <c r="AB53" s="637" t="s">
        <v>1313</v>
      </c>
      <c r="AC53" s="637" t="s">
        <v>1312</v>
      </c>
      <c r="AD53" s="636" t="s">
        <v>1313</v>
      </c>
      <c r="AE53" s="636" t="s">
        <v>1312</v>
      </c>
      <c r="AF53" s="637" t="s">
        <v>1313</v>
      </c>
      <c r="AG53" s="637" t="s">
        <v>1312</v>
      </c>
      <c r="AH53" s="636" t="s">
        <v>1313</v>
      </c>
      <c r="AI53" s="636" t="s">
        <v>1312</v>
      </c>
      <c r="AJ53" s="637" t="s">
        <v>1313</v>
      </c>
      <c r="AK53" s="637" t="s">
        <v>1312</v>
      </c>
      <c r="AL53" s="636" t="s">
        <v>1313</v>
      </c>
      <c r="AM53" s="636" t="s">
        <v>1312</v>
      </c>
      <c r="AN53" s="637" t="s">
        <v>1313</v>
      </c>
      <c r="AO53" s="637" t="s">
        <v>1312</v>
      </c>
      <c r="AP53" s="636" t="s">
        <v>1313</v>
      </c>
      <c r="AQ53" s="636" t="s">
        <v>1312</v>
      </c>
    </row>
    <row r="54" spans="8:43" x14ac:dyDescent="0.25">
      <c r="J54" t="s">
        <v>39</v>
      </c>
      <c r="L54" s="81" t="s">
        <v>1425</v>
      </c>
      <c r="M54" s="81" t="s">
        <v>1426</v>
      </c>
      <c r="N54" s="81" t="s">
        <v>1389</v>
      </c>
      <c r="O54" s="81" t="s">
        <v>1390</v>
      </c>
      <c r="P54" s="81" t="s">
        <v>1435</v>
      </c>
      <c r="Q54" s="81" t="s">
        <v>1426</v>
      </c>
      <c r="R54" s="81" t="s">
        <v>1410</v>
      </c>
      <c r="S54" s="81" t="s">
        <v>1390</v>
      </c>
      <c r="T54" s="81"/>
      <c r="U54" s="81"/>
      <c r="V54" s="81"/>
      <c r="W54" s="81"/>
      <c r="X54" s="81" t="s">
        <v>1450</v>
      </c>
      <c r="Y54" s="81" t="s">
        <v>1451</v>
      </c>
      <c r="Z54" s="81" t="s">
        <v>1450</v>
      </c>
      <c r="AA54" s="81" t="s">
        <v>1451</v>
      </c>
      <c r="AB54" s="81" t="s">
        <v>1462</v>
      </c>
      <c r="AC54" s="81" t="s">
        <v>1463</v>
      </c>
      <c r="AD54" s="81" t="s">
        <v>1462</v>
      </c>
      <c r="AE54" s="81" t="s">
        <v>1463</v>
      </c>
      <c r="AF54" s="81"/>
      <c r="AG54" s="81"/>
      <c r="AH54" s="81"/>
      <c r="AI54" s="81"/>
      <c r="AJ54" s="81"/>
      <c r="AK54" s="81"/>
      <c r="AL54" s="81"/>
      <c r="AM54" s="81"/>
      <c r="AN54" s="81"/>
      <c r="AO54" s="81"/>
      <c r="AP54" s="81"/>
      <c r="AQ54" s="81"/>
    </row>
    <row r="55" spans="8:43" x14ac:dyDescent="0.25">
      <c r="H55" s="85" t="s">
        <v>390</v>
      </c>
      <c r="J55" t="s">
        <v>40</v>
      </c>
      <c r="L55" s="81" t="s">
        <v>1427</v>
      </c>
      <c r="M55" s="81" t="s">
        <v>1426</v>
      </c>
      <c r="N55" s="81" t="s">
        <v>1391</v>
      </c>
      <c r="O55" s="81" t="s">
        <v>1390</v>
      </c>
      <c r="P55" s="81" t="s">
        <v>1436</v>
      </c>
      <c r="Q55" s="81" t="s">
        <v>1426</v>
      </c>
      <c r="R55" s="81" t="s">
        <v>1411</v>
      </c>
      <c r="S55" s="81" t="s">
        <v>1390</v>
      </c>
      <c r="T55" s="81"/>
      <c r="U55" s="81"/>
      <c r="V55" s="81"/>
      <c r="W55" s="81"/>
      <c r="X55" s="81" t="s">
        <v>1452</v>
      </c>
      <c r="Y55" s="81" t="s">
        <v>1453</v>
      </c>
      <c r="Z55" s="81" t="s">
        <v>1452</v>
      </c>
      <c r="AA55" s="81" t="s">
        <v>1453</v>
      </c>
      <c r="AB55" s="81" t="s">
        <v>1464</v>
      </c>
      <c r="AC55" s="81" t="s">
        <v>1465</v>
      </c>
      <c r="AD55" s="81" t="s">
        <v>1464</v>
      </c>
      <c r="AE55" s="81" t="s">
        <v>1465</v>
      </c>
      <c r="AF55" s="81"/>
      <c r="AG55" s="81"/>
      <c r="AH55" s="81"/>
      <c r="AI55" s="81"/>
      <c r="AJ55" s="81"/>
      <c r="AK55" s="81"/>
      <c r="AL55" s="81"/>
      <c r="AM55" s="81"/>
      <c r="AN55" s="81"/>
      <c r="AO55" s="81"/>
      <c r="AP55" s="81"/>
      <c r="AQ55" s="81"/>
    </row>
    <row r="56" spans="8:43" x14ac:dyDescent="0.25">
      <c r="H56" t="s">
        <v>391</v>
      </c>
      <c r="J56" t="s">
        <v>36</v>
      </c>
      <c r="L56" s="81" t="s">
        <v>1428</v>
      </c>
      <c r="M56" s="81" t="s">
        <v>1429</v>
      </c>
      <c r="N56" s="81" t="s">
        <v>1392</v>
      </c>
      <c r="O56" s="81" t="s">
        <v>1393</v>
      </c>
      <c r="P56" s="81" t="s">
        <v>1437</v>
      </c>
      <c r="Q56" s="81" t="s">
        <v>1429</v>
      </c>
      <c r="R56" s="81" t="s">
        <v>1412</v>
      </c>
      <c r="S56" s="81" t="s">
        <v>1393</v>
      </c>
      <c r="T56" s="81"/>
      <c r="U56" s="81"/>
      <c r="V56" s="81"/>
      <c r="W56" s="81"/>
      <c r="X56" s="81" t="s">
        <v>1454</v>
      </c>
      <c r="Y56" s="81" t="s">
        <v>1455</v>
      </c>
      <c r="Z56" s="81" t="s">
        <v>1454</v>
      </c>
      <c r="AA56" s="81" t="s">
        <v>1455</v>
      </c>
      <c r="AB56" s="81" t="s">
        <v>1466</v>
      </c>
      <c r="AC56" s="81" t="s">
        <v>1467</v>
      </c>
      <c r="AD56" s="81" t="s">
        <v>1466</v>
      </c>
      <c r="AE56" s="81" t="s">
        <v>1467</v>
      </c>
      <c r="AF56" s="81"/>
      <c r="AG56" s="81"/>
      <c r="AH56" s="81"/>
      <c r="AI56" s="81"/>
      <c r="AJ56" s="81"/>
      <c r="AK56" s="81"/>
      <c r="AL56" s="81"/>
      <c r="AM56" s="81"/>
      <c r="AN56" s="81"/>
      <c r="AO56" s="81"/>
      <c r="AP56" s="81"/>
      <c r="AQ56" s="81"/>
    </row>
    <row r="57" spans="8:43" x14ac:dyDescent="0.25">
      <c r="H57" t="s">
        <v>324</v>
      </c>
      <c r="J57" t="s">
        <v>42</v>
      </c>
      <c r="L57" s="81" t="s">
        <v>1430</v>
      </c>
      <c r="M57" s="81" t="s">
        <v>1429</v>
      </c>
      <c r="N57" s="81" t="s">
        <v>1394</v>
      </c>
      <c r="O57" s="81" t="s">
        <v>1393</v>
      </c>
      <c r="P57" s="81" t="s">
        <v>1438</v>
      </c>
      <c r="Q57" s="81" t="s">
        <v>1429</v>
      </c>
      <c r="R57" s="81" t="s">
        <v>1413</v>
      </c>
      <c r="S57" s="81" t="s">
        <v>1393</v>
      </c>
      <c r="T57" s="81"/>
      <c r="U57" s="81"/>
      <c r="V57" s="81"/>
      <c r="W57" s="81"/>
      <c r="X57" s="81" t="s">
        <v>1456</v>
      </c>
      <c r="Y57" s="81" t="s">
        <v>1457</v>
      </c>
      <c r="Z57" s="81" t="s">
        <v>1456</v>
      </c>
      <c r="AA57" s="81" t="s">
        <v>1457</v>
      </c>
      <c r="AB57" s="81" t="s">
        <v>1468</v>
      </c>
      <c r="AC57" s="81" t="s">
        <v>1469</v>
      </c>
      <c r="AD57" s="81" t="s">
        <v>1468</v>
      </c>
      <c r="AE57" s="81" t="s">
        <v>1469</v>
      </c>
      <c r="AF57" s="81"/>
      <c r="AG57" s="81"/>
      <c r="AH57" s="81"/>
      <c r="AI57" s="81"/>
      <c r="AJ57" s="81"/>
      <c r="AK57" s="81"/>
      <c r="AL57" s="81"/>
      <c r="AM57" s="81"/>
      <c r="AN57" s="81"/>
      <c r="AO57" s="81"/>
      <c r="AP57" s="81"/>
      <c r="AQ57" s="81"/>
    </row>
    <row r="58" spans="8:43" x14ac:dyDescent="0.25">
      <c r="J58" t="s">
        <v>371</v>
      </c>
      <c r="L58" s="81" t="s">
        <v>1431</v>
      </c>
      <c r="M58" s="81" t="s">
        <v>1432</v>
      </c>
      <c r="N58" s="81" t="s">
        <v>1397</v>
      </c>
      <c r="O58" s="81" t="s">
        <v>1396</v>
      </c>
      <c r="P58" s="81" t="s">
        <v>1439</v>
      </c>
      <c r="Q58" s="81" t="s">
        <v>1432</v>
      </c>
      <c r="R58" s="81" t="s">
        <v>1414</v>
      </c>
      <c r="S58" s="81" t="s">
        <v>1396</v>
      </c>
      <c r="T58" s="81"/>
      <c r="U58" s="81"/>
      <c r="V58" s="81"/>
      <c r="W58" s="81"/>
      <c r="X58" s="81" t="s">
        <v>1458</v>
      </c>
      <c r="Y58" s="81" t="s">
        <v>1459</v>
      </c>
      <c r="Z58" s="81" t="s">
        <v>1458</v>
      </c>
      <c r="AA58" s="81" t="s">
        <v>1459</v>
      </c>
      <c r="AB58" s="81" t="s">
        <v>1470</v>
      </c>
      <c r="AC58" s="81" t="s">
        <v>1471</v>
      </c>
      <c r="AD58" s="81" t="s">
        <v>1470</v>
      </c>
      <c r="AE58" s="81" t="s">
        <v>1471</v>
      </c>
      <c r="AF58" s="81"/>
      <c r="AG58" s="81"/>
      <c r="AH58" s="81"/>
      <c r="AI58" s="81"/>
      <c r="AJ58" s="81"/>
      <c r="AK58" s="81"/>
      <c r="AL58" s="81"/>
      <c r="AM58" s="81"/>
      <c r="AN58" s="81"/>
      <c r="AO58" s="81"/>
      <c r="AP58" s="81"/>
      <c r="AQ58" s="81"/>
    </row>
    <row r="59" spans="8:43" x14ac:dyDescent="0.25">
      <c r="H59" s="85" t="s">
        <v>407</v>
      </c>
      <c r="J59" t="s">
        <v>372</v>
      </c>
      <c r="L59" s="81" t="s">
        <v>1433</v>
      </c>
      <c r="M59" s="81" t="s">
        <v>1432</v>
      </c>
      <c r="N59" s="81" t="s">
        <v>1395</v>
      </c>
      <c r="O59" s="81" t="s">
        <v>1396</v>
      </c>
      <c r="P59" s="81" t="s">
        <v>1440</v>
      </c>
      <c r="Q59" s="81" t="s">
        <v>1432</v>
      </c>
      <c r="R59" s="81" t="s">
        <v>1415</v>
      </c>
      <c r="S59" s="81" t="s">
        <v>1396</v>
      </c>
      <c r="T59" s="81"/>
      <c r="U59" s="81"/>
      <c r="V59" s="81"/>
      <c r="W59" s="81"/>
      <c r="X59" s="81" t="s">
        <v>1460</v>
      </c>
      <c r="Y59" s="81" t="s">
        <v>1461</v>
      </c>
      <c r="Z59" s="81" t="s">
        <v>1460</v>
      </c>
      <c r="AA59" s="81" t="s">
        <v>1461</v>
      </c>
      <c r="AB59" s="81" t="s">
        <v>1472</v>
      </c>
      <c r="AC59" s="81" t="s">
        <v>1473</v>
      </c>
      <c r="AD59" s="81" t="s">
        <v>1472</v>
      </c>
      <c r="AE59" s="81" t="s">
        <v>1473</v>
      </c>
      <c r="AF59" s="81"/>
      <c r="AG59" s="81"/>
      <c r="AH59" s="81"/>
      <c r="AI59" s="81"/>
      <c r="AJ59" s="81"/>
      <c r="AK59" s="81"/>
      <c r="AL59" s="81"/>
      <c r="AM59" s="81"/>
      <c r="AN59" s="81"/>
      <c r="AO59" s="81"/>
      <c r="AP59" s="81"/>
      <c r="AQ59" s="81"/>
    </row>
    <row r="60" spans="8:43" x14ac:dyDescent="0.25">
      <c r="H60" t="s">
        <v>391</v>
      </c>
      <c r="J60" t="s">
        <v>43</v>
      </c>
      <c r="L60" s="81" t="s">
        <v>1434</v>
      </c>
      <c r="M60" s="81" t="s">
        <v>1432</v>
      </c>
      <c r="N60" s="81" t="s">
        <v>1398</v>
      </c>
      <c r="O60" s="81" t="s">
        <v>1396</v>
      </c>
      <c r="P60" s="81" t="s">
        <v>1441</v>
      </c>
      <c r="Q60" s="81" t="s">
        <v>1432</v>
      </c>
      <c r="R60" s="81" t="s">
        <v>1416</v>
      </c>
      <c r="S60" s="81" t="s">
        <v>1396</v>
      </c>
      <c r="T60" s="81"/>
      <c r="U60" s="81"/>
      <c r="V60" s="81"/>
      <c r="W60" s="81"/>
      <c r="X60" s="81"/>
      <c r="Y60" s="81"/>
      <c r="Z60" s="81"/>
      <c r="AA60" s="81"/>
      <c r="AB60" s="81"/>
      <c r="AC60" s="81"/>
      <c r="AD60" s="81"/>
      <c r="AE60" s="81"/>
      <c r="AF60" s="81"/>
      <c r="AG60" s="81"/>
      <c r="AH60" s="81"/>
      <c r="AI60" s="81"/>
      <c r="AJ60" s="81"/>
      <c r="AK60" s="81"/>
      <c r="AL60" s="81"/>
      <c r="AM60" s="81"/>
      <c r="AN60" s="81"/>
      <c r="AO60" s="81"/>
      <c r="AP60" s="81"/>
      <c r="AQ60" s="81"/>
    </row>
    <row r="61" spans="8:43" x14ac:dyDescent="0.25">
      <c r="H61" t="s">
        <v>324</v>
      </c>
      <c r="J61" t="s">
        <v>333</v>
      </c>
      <c r="L61" s="81" t="s">
        <v>1428</v>
      </c>
      <c r="M61" s="81" t="s">
        <v>1429</v>
      </c>
      <c r="N61" s="81" t="s">
        <v>1392</v>
      </c>
      <c r="O61" s="81" t="s">
        <v>1393</v>
      </c>
      <c r="P61" s="81" t="s">
        <v>1437</v>
      </c>
      <c r="Q61" s="81" t="s">
        <v>1429</v>
      </c>
      <c r="R61" s="81" t="s">
        <v>1412</v>
      </c>
      <c r="S61" s="81" t="s">
        <v>1393</v>
      </c>
      <c r="T61" s="81"/>
      <c r="U61" s="81"/>
      <c r="V61" s="81"/>
      <c r="W61" s="81"/>
      <c r="X61" s="81"/>
      <c r="Y61" s="81"/>
      <c r="Z61" s="81"/>
      <c r="AA61" s="81"/>
      <c r="AB61" s="81"/>
      <c r="AC61" s="81"/>
      <c r="AD61" s="81"/>
      <c r="AE61" s="81"/>
      <c r="AF61" s="81"/>
      <c r="AG61" s="81"/>
      <c r="AH61" s="81"/>
      <c r="AI61" s="81"/>
      <c r="AJ61" s="81"/>
      <c r="AK61" s="81"/>
      <c r="AL61" s="81"/>
      <c r="AM61" s="81"/>
      <c r="AN61" s="81"/>
      <c r="AO61" s="81"/>
      <c r="AP61" s="81"/>
      <c r="AQ61" s="81"/>
    </row>
    <row r="62" spans="8:43" x14ac:dyDescent="0.25">
      <c r="J62" t="s">
        <v>334</v>
      </c>
      <c r="L62" s="81" t="s">
        <v>1430</v>
      </c>
      <c r="M62" s="81" t="s">
        <v>1429</v>
      </c>
      <c r="N62" s="81" t="s">
        <v>1394</v>
      </c>
      <c r="O62" s="81" t="s">
        <v>1393</v>
      </c>
      <c r="P62" s="81" t="s">
        <v>1438</v>
      </c>
      <c r="Q62" s="81" t="s">
        <v>1429</v>
      </c>
      <c r="R62" s="81" t="s">
        <v>1413</v>
      </c>
      <c r="S62" s="81" t="s">
        <v>1393</v>
      </c>
      <c r="T62" s="81"/>
      <c r="U62" s="81"/>
      <c r="V62" s="81"/>
      <c r="W62" s="81"/>
      <c r="X62" s="81"/>
      <c r="Y62" s="81"/>
      <c r="Z62" s="81"/>
      <c r="AA62" s="81"/>
      <c r="AB62" s="81"/>
      <c r="AC62" s="81"/>
      <c r="AD62" s="81"/>
      <c r="AE62" s="81"/>
      <c r="AF62" s="81"/>
      <c r="AG62" s="81"/>
      <c r="AH62" s="81"/>
      <c r="AI62" s="81"/>
      <c r="AJ62" s="81"/>
      <c r="AK62" s="81"/>
      <c r="AL62" s="81"/>
      <c r="AM62" s="81"/>
      <c r="AN62" s="81"/>
      <c r="AO62" s="81"/>
      <c r="AP62" s="81"/>
      <c r="AQ62" s="81"/>
    </row>
    <row r="63" spans="8:43" x14ac:dyDescent="0.25">
      <c r="H63" s="85" t="s">
        <v>1062</v>
      </c>
      <c r="J63" t="s">
        <v>1061</v>
      </c>
      <c r="L63" s="81" t="s">
        <v>1428</v>
      </c>
      <c r="M63" s="81" t="s">
        <v>1429</v>
      </c>
      <c r="N63" s="81" t="s">
        <v>1392</v>
      </c>
      <c r="O63" s="81" t="s">
        <v>1393</v>
      </c>
      <c r="P63" s="81" t="s">
        <v>1437</v>
      </c>
      <c r="Q63" s="81" t="s">
        <v>1429</v>
      </c>
      <c r="R63" s="81" t="s">
        <v>1412</v>
      </c>
      <c r="S63" s="81" t="s">
        <v>1393</v>
      </c>
      <c r="T63" s="81"/>
      <c r="U63" s="81"/>
      <c r="V63" s="81"/>
      <c r="W63" s="81"/>
      <c r="X63" s="81"/>
      <c r="Y63" s="81"/>
      <c r="Z63" s="81"/>
      <c r="AA63" s="81"/>
      <c r="AB63" s="81"/>
      <c r="AC63" s="81"/>
      <c r="AD63" s="81"/>
      <c r="AE63" s="81"/>
      <c r="AF63" s="81"/>
      <c r="AG63" s="81"/>
      <c r="AH63" s="81"/>
      <c r="AI63" s="81"/>
      <c r="AJ63" s="81"/>
      <c r="AK63" s="81"/>
      <c r="AL63" s="81"/>
      <c r="AM63" s="81"/>
      <c r="AN63" s="81"/>
      <c r="AO63" s="81"/>
      <c r="AP63" s="81"/>
      <c r="AQ63" s="81"/>
    </row>
    <row r="64" spans="8:43" x14ac:dyDescent="0.25">
      <c r="H64" t="s">
        <v>1081</v>
      </c>
      <c r="J64" t="s">
        <v>49</v>
      </c>
      <c r="L64" s="81" t="s">
        <v>1428</v>
      </c>
      <c r="M64" s="81" t="s">
        <v>1429</v>
      </c>
      <c r="N64" s="81" t="s">
        <v>1392</v>
      </c>
      <c r="O64" s="81" t="s">
        <v>1393</v>
      </c>
      <c r="P64" s="81" t="s">
        <v>1437</v>
      </c>
      <c r="Q64" s="81" t="s">
        <v>1429</v>
      </c>
      <c r="R64" s="81" t="s">
        <v>1412</v>
      </c>
      <c r="S64" s="81" t="s">
        <v>1393</v>
      </c>
      <c r="T64" s="81"/>
      <c r="U64" s="81"/>
      <c r="V64" s="81"/>
      <c r="W64" s="81"/>
      <c r="X64" s="81"/>
      <c r="Y64" s="81"/>
      <c r="Z64" s="81"/>
      <c r="AA64" s="81"/>
      <c r="AB64" s="81"/>
      <c r="AC64" s="81"/>
      <c r="AD64" s="81"/>
      <c r="AE64" s="81"/>
      <c r="AF64" s="81"/>
      <c r="AG64" s="81"/>
      <c r="AH64" s="81"/>
      <c r="AI64" s="81"/>
      <c r="AJ64" s="81"/>
      <c r="AK64" s="81"/>
      <c r="AL64" s="81"/>
      <c r="AM64" s="81"/>
      <c r="AN64" s="81"/>
      <c r="AO64" s="81"/>
      <c r="AP64" s="81"/>
      <c r="AQ64" s="81"/>
    </row>
    <row r="65" spans="8:43" x14ac:dyDescent="0.25">
      <c r="H65" t="s">
        <v>1082</v>
      </c>
      <c r="J65" t="s">
        <v>50</v>
      </c>
      <c r="L65" s="81" t="s">
        <v>1430</v>
      </c>
      <c r="M65" s="81" t="s">
        <v>1429</v>
      </c>
      <c r="N65" s="81" t="s">
        <v>1394</v>
      </c>
      <c r="O65" s="81" t="s">
        <v>1393</v>
      </c>
      <c r="P65" s="81" t="s">
        <v>1438</v>
      </c>
      <c r="Q65" s="81" t="s">
        <v>1429</v>
      </c>
      <c r="R65" s="81" t="s">
        <v>1413</v>
      </c>
      <c r="S65" s="81" t="s">
        <v>1393</v>
      </c>
      <c r="T65" s="81"/>
      <c r="U65" s="81"/>
      <c r="V65" s="81"/>
      <c r="W65" s="81"/>
      <c r="X65" s="81"/>
      <c r="Y65" s="81"/>
      <c r="Z65" s="81"/>
      <c r="AA65" s="81"/>
      <c r="AB65" s="81"/>
      <c r="AC65" s="81"/>
      <c r="AD65" s="81"/>
      <c r="AE65" s="81"/>
      <c r="AF65" s="81"/>
      <c r="AG65" s="81"/>
      <c r="AH65" s="81"/>
      <c r="AI65" s="81"/>
      <c r="AJ65" s="81"/>
      <c r="AK65" s="81"/>
      <c r="AL65" s="81"/>
      <c r="AM65" s="81"/>
      <c r="AN65" s="81"/>
      <c r="AO65" s="81"/>
      <c r="AP65" s="81"/>
      <c r="AQ65" s="81"/>
    </row>
    <row r="66" spans="8:43" x14ac:dyDescent="0.25">
      <c r="H66" t="s">
        <v>1547</v>
      </c>
      <c r="J66" t="s">
        <v>1179</v>
      </c>
      <c r="L66" s="81" t="s">
        <v>1428</v>
      </c>
      <c r="M66" s="81" t="s">
        <v>1429</v>
      </c>
      <c r="N66" s="81" t="s">
        <v>1392</v>
      </c>
      <c r="O66" s="81" t="s">
        <v>1393</v>
      </c>
      <c r="P66" s="81" t="s">
        <v>1437</v>
      </c>
      <c r="Q66" s="81" t="s">
        <v>1429</v>
      </c>
      <c r="R66" s="81" t="s">
        <v>1412</v>
      </c>
      <c r="S66" s="81" t="s">
        <v>1393</v>
      </c>
      <c r="T66" s="81"/>
      <c r="U66" s="81"/>
      <c r="V66" s="81"/>
      <c r="W66" s="81"/>
      <c r="X66" s="81"/>
      <c r="Y66" s="81"/>
      <c r="Z66" s="81"/>
      <c r="AA66" s="81"/>
      <c r="AB66" s="81"/>
      <c r="AC66" s="81"/>
      <c r="AD66" s="81"/>
      <c r="AE66" s="81"/>
      <c r="AF66" s="81"/>
      <c r="AG66" s="81"/>
      <c r="AH66" s="81"/>
      <c r="AI66" s="81"/>
      <c r="AJ66" s="81"/>
      <c r="AK66" s="81"/>
      <c r="AL66" s="81"/>
      <c r="AM66" s="81"/>
      <c r="AN66" s="81"/>
      <c r="AO66" s="81"/>
      <c r="AP66" s="81"/>
      <c r="AQ66" s="81"/>
    </row>
    <row r="67" spans="8:43" x14ac:dyDescent="0.25">
      <c r="H67" t="s">
        <v>1548</v>
      </c>
      <c r="J67" t="s">
        <v>1180</v>
      </c>
      <c r="L67" s="81" t="s">
        <v>1430</v>
      </c>
      <c r="M67" s="81" t="s">
        <v>1429</v>
      </c>
      <c r="N67" s="81" t="s">
        <v>1394</v>
      </c>
      <c r="O67" s="81" t="s">
        <v>1393</v>
      </c>
      <c r="P67" s="81" t="s">
        <v>1438</v>
      </c>
      <c r="Q67" s="81" t="s">
        <v>1429</v>
      </c>
      <c r="R67" s="81" t="s">
        <v>1413</v>
      </c>
      <c r="S67" s="81" t="s">
        <v>1393</v>
      </c>
      <c r="T67" s="81"/>
      <c r="U67" s="81"/>
      <c r="V67" s="81"/>
      <c r="W67" s="81"/>
      <c r="X67" s="81"/>
      <c r="Y67" s="81"/>
      <c r="Z67" s="81"/>
      <c r="AA67" s="81"/>
      <c r="AB67" s="81"/>
      <c r="AC67" s="81"/>
      <c r="AD67" s="81"/>
      <c r="AE67" s="81"/>
      <c r="AF67" s="81"/>
      <c r="AG67" s="81"/>
      <c r="AH67" s="81"/>
      <c r="AI67" s="81"/>
      <c r="AJ67" s="81"/>
      <c r="AK67" s="81"/>
      <c r="AL67" s="81"/>
      <c r="AM67" s="81"/>
      <c r="AN67" s="81"/>
      <c r="AO67" s="81"/>
      <c r="AP67" s="81"/>
      <c r="AQ67" s="81"/>
    </row>
    <row r="68" spans="8:43" x14ac:dyDescent="0.25">
      <c r="H68" t="s">
        <v>1083</v>
      </c>
    </row>
    <row r="69" spans="8:43" x14ac:dyDescent="0.25">
      <c r="H69" t="s">
        <v>1084</v>
      </c>
    </row>
    <row r="70" spans="8:43" x14ac:dyDescent="0.25">
      <c r="H70" t="s">
        <v>1085</v>
      </c>
    </row>
    <row r="71" spans="8:43" x14ac:dyDescent="0.25">
      <c r="H71" t="s">
        <v>1086</v>
      </c>
    </row>
    <row r="72" spans="8:43" x14ac:dyDescent="0.25">
      <c r="H72" t="s">
        <v>1087</v>
      </c>
    </row>
    <row r="73" spans="8:43" x14ac:dyDescent="0.25">
      <c r="H73" t="s">
        <v>1088</v>
      </c>
    </row>
    <row r="74" spans="8:43" x14ac:dyDescent="0.25">
      <c r="H74" t="s">
        <v>1549</v>
      </c>
    </row>
    <row r="75" spans="8:43" x14ac:dyDescent="0.25">
      <c r="H75" t="s">
        <v>1550</v>
      </c>
    </row>
  </sheetData>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dimension ref="A1:H257"/>
  <sheetViews>
    <sheetView workbookViewId="0">
      <selection activeCell="O11" sqref="O11"/>
    </sheetView>
  </sheetViews>
  <sheetFormatPr defaultRowHeight="15" x14ac:dyDescent="0.25"/>
  <cols>
    <col min="1" max="1" width="9.42578125" customWidth="1"/>
    <col min="4" max="4" width="13.7109375" bestFit="1" customWidth="1"/>
    <col min="7" max="7" width="9.42578125" customWidth="1"/>
    <col min="243" max="243" width="9.42578125" customWidth="1"/>
    <col min="246" max="246" width="9.42578125" customWidth="1"/>
    <col min="499" max="499" width="9.42578125" customWidth="1"/>
    <col min="502" max="502" width="9.42578125" customWidth="1"/>
    <col min="755" max="755" width="9.42578125" customWidth="1"/>
    <col min="758" max="758" width="9.42578125" customWidth="1"/>
    <col min="1011" max="1011" width="9.42578125" customWidth="1"/>
    <col min="1014" max="1014" width="9.42578125" customWidth="1"/>
    <col min="1267" max="1267" width="9.42578125" customWidth="1"/>
    <col min="1270" max="1270" width="9.42578125" customWidth="1"/>
    <col min="1523" max="1523" width="9.42578125" customWidth="1"/>
    <col min="1526" max="1526" width="9.42578125" customWidth="1"/>
    <col min="1779" max="1779" width="9.42578125" customWidth="1"/>
    <col min="1782" max="1782" width="9.42578125" customWidth="1"/>
    <col min="2035" max="2035" width="9.42578125" customWidth="1"/>
    <col min="2038" max="2038" width="9.42578125" customWidth="1"/>
    <col min="2291" max="2291" width="9.42578125" customWidth="1"/>
    <col min="2294" max="2294" width="9.42578125" customWidth="1"/>
    <col min="2547" max="2547" width="9.42578125" customWidth="1"/>
    <col min="2550" max="2550" width="9.42578125" customWidth="1"/>
    <col min="2803" max="2803" width="9.42578125" customWidth="1"/>
    <col min="2806" max="2806" width="9.42578125" customWidth="1"/>
    <col min="3059" max="3059" width="9.42578125" customWidth="1"/>
    <col min="3062" max="3062" width="9.42578125" customWidth="1"/>
    <col min="3315" max="3315" width="9.42578125" customWidth="1"/>
    <col min="3318" max="3318" width="9.42578125" customWidth="1"/>
    <col min="3571" max="3571" width="9.42578125" customWidth="1"/>
    <col min="3574" max="3574" width="9.42578125" customWidth="1"/>
    <col min="3827" max="3827" width="9.42578125" customWidth="1"/>
    <col min="3830" max="3830" width="9.42578125" customWidth="1"/>
    <col min="4083" max="4083" width="9.42578125" customWidth="1"/>
    <col min="4086" max="4086" width="9.42578125" customWidth="1"/>
    <col min="4339" max="4339" width="9.42578125" customWidth="1"/>
    <col min="4342" max="4342" width="9.42578125" customWidth="1"/>
    <col min="4595" max="4595" width="9.42578125" customWidth="1"/>
    <col min="4598" max="4598" width="9.42578125" customWidth="1"/>
    <col min="4851" max="4851" width="9.42578125" customWidth="1"/>
    <col min="4854" max="4854" width="9.42578125" customWidth="1"/>
    <col min="5107" max="5107" width="9.42578125" customWidth="1"/>
    <col min="5110" max="5110" width="9.42578125" customWidth="1"/>
    <col min="5363" max="5363" width="9.42578125" customWidth="1"/>
    <col min="5366" max="5366" width="9.42578125" customWidth="1"/>
    <col min="5619" max="5619" width="9.42578125" customWidth="1"/>
    <col min="5622" max="5622" width="9.42578125" customWidth="1"/>
    <col min="5875" max="5875" width="9.42578125" customWidth="1"/>
    <col min="5878" max="5878" width="9.42578125" customWidth="1"/>
    <col min="6131" max="6131" width="9.42578125" customWidth="1"/>
    <col min="6134" max="6134" width="9.42578125" customWidth="1"/>
    <col min="6387" max="6387" width="9.42578125" customWidth="1"/>
    <col min="6390" max="6390" width="9.42578125" customWidth="1"/>
    <col min="6643" max="6643" width="9.42578125" customWidth="1"/>
    <col min="6646" max="6646" width="9.42578125" customWidth="1"/>
    <col min="6899" max="6899" width="9.42578125" customWidth="1"/>
    <col min="6902" max="6902" width="9.42578125" customWidth="1"/>
    <col min="7155" max="7155" width="9.42578125" customWidth="1"/>
    <col min="7158" max="7158" width="9.42578125" customWidth="1"/>
    <col min="7411" max="7411" width="9.42578125" customWidth="1"/>
    <col min="7414" max="7414" width="9.42578125" customWidth="1"/>
    <col min="7667" max="7667" width="9.42578125" customWidth="1"/>
    <col min="7670" max="7670" width="9.42578125" customWidth="1"/>
    <col min="7923" max="7923" width="9.42578125" customWidth="1"/>
    <col min="7926" max="7926" width="9.42578125" customWidth="1"/>
    <col min="8179" max="8179" width="9.42578125" customWidth="1"/>
    <col min="8182" max="8182" width="9.42578125" customWidth="1"/>
    <col min="8435" max="8435" width="9.42578125" customWidth="1"/>
    <col min="8438" max="8438" width="9.42578125" customWidth="1"/>
    <col min="8691" max="8691" width="9.42578125" customWidth="1"/>
    <col min="8694" max="8694" width="9.42578125" customWidth="1"/>
    <col min="8947" max="8947" width="9.42578125" customWidth="1"/>
    <col min="8950" max="8950" width="9.42578125" customWidth="1"/>
    <col min="9203" max="9203" width="9.42578125" customWidth="1"/>
    <col min="9206" max="9206" width="9.42578125" customWidth="1"/>
    <col min="9459" max="9459" width="9.42578125" customWidth="1"/>
    <col min="9462" max="9462" width="9.42578125" customWidth="1"/>
    <col min="9715" max="9715" width="9.42578125" customWidth="1"/>
    <col min="9718" max="9718" width="9.42578125" customWidth="1"/>
    <col min="9971" max="9971" width="9.42578125" customWidth="1"/>
    <col min="9974" max="9974" width="9.42578125" customWidth="1"/>
    <col min="10227" max="10227" width="9.42578125" customWidth="1"/>
    <col min="10230" max="10230" width="9.42578125" customWidth="1"/>
    <col min="10483" max="10483" width="9.42578125" customWidth="1"/>
    <col min="10486" max="10486" width="9.42578125" customWidth="1"/>
    <col min="10739" max="10739" width="9.42578125" customWidth="1"/>
    <col min="10742" max="10742" width="9.42578125" customWidth="1"/>
    <col min="10995" max="10995" width="9.42578125" customWidth="1"/>
    <col min="10998" max="10998" width="9.42578125" customWidth="1"/>
    <col min="11251" max="11251" width="9.42578125" customWidth="1"/>
    <col min="11254" max="11254" width="9.42578125" customWidth="1"/>
    <col min="11507" max="11507" width="9.42578125" customWidth="1"/>
    <col min="11510" max="11510" width="9.42578125" customWidth="1"/>
    <col min="11763" max="11763" width="9.42578125" customWidth="1"/>
    <col min="11766" max="11766" width="9.42578125" customWidth="1"/>
    <col min="12019" max="12019" width="9.42578125" customWidth="1"/>
    <col min="12022" max="12022" width="9.42578125" customWidth="1"/>
    <col min="12275" max="12275" width="9.42578125" customWidth="1"/>
    <col min="12278" max="12278" width="9.42578125" customWidth="1"/>
    <col min="12531" max="12531" width="9.42578125" customWidth="1"/>
    <col min="12534" max="12534" width="9.42578125" customWidth="1"/>
    <col min="12787" max="12787" width="9.42578125" customWidth="1"/>
    <col min="12790" max="12790" width="9.42578125" customWidth="1"/>
    <col min="13043" max="13043" width="9.42578125" customWidth="1"/>
    <col min="13046" max="13046" width="9.42578125" customWidth="1"/>
    <col min="13299" max="13299" width="9.42578125" customWidth="1"/>
    <col min="13302" max="13302" width="9.42578125" customWidth="1"/>
    <col min="13555" max="13555" width="9.42578125" customWidth="1"/>
    <col min="13558" max="13558" width="9.42578125" customWidth="1"/>
    <col min="13811" max="13811" width="9.42578125" customWidth="1"/>
    <col min="13814" max="13814" width="9.42578125" customWidth="1"/>
    <col min="14067" max="14067" width="9.42578125" customWidth="1"/>
    <col min="14070" max="14070" width="9.42578125" customWidth="1"/>
    <col min="14323" max="14323" width="9.42578125" customWidth="1"/>
    <col min="14326" max="14326" width="9.42578125" customWidth="1"/>
    <col min="14579" max="14579" width="9.42578125" customWidth="1"/>
    <col min="14582" max="14582" width="9.42578125" customWidth="1"/>
    <col min="14835" max="14835" width="9.42578125" customWidth="1"/>
    <col min="14838" max="14838" width="9.42578125" customWidth="1"/>
    <col min="15091" max="15091" width="9.42578125" customWidth="1"/>
    <col min="15094" max="15094" width="9.42578125" customWidth="1"/>
    <col min="15347" max="15347" width="9.42578125" customWidth="1"/>
    <col min="15350" max="15350" width="9.42578125" customWidth="1"/>
    <col min="15603" max="15603" width="9.42578125" customWidth="1"/>
    <col min="15606" max="15606" width="9.42578125" customWidth="1"/>
    <col min="15859" max="15859" width="9.42578125" customWidth="1"/>
    <col min="15862" max="15862" width="9.42578125" customWidth="1"/>
    <col min="16115" max="16115" width="9.42578125" customWidth="1"/>
    <col min="16118" max="16118" width="9.42578125" customWidth="1"/>
  </cols>
  <sheetData>
    <row r="1" spans="1:8" x14ac:dyDescent="0.25">
      <c r="A1" t="s">
        <v>410</v>
      </c>
      <c r="D1" t="s">
        <v>254</v>
      </c>
      <c r="G1" t="s">
        <v>467</v>
      </c>
    </row>
    <row r="2" spans="1:8" x14ac:dyDescent="0.25">
      <c r="A2" t="s">
        <v>101</v>
      </c>
      <c r="B2" t="s">
        <v>104</v>
      </c>
      <c r="D2" t="s">
        <v>101</v>
      </c>
      <c r="E2" t="s">
        <v>104</v>
      </c>
      <c r="G2" t="s">
        <v>101</v>
      </c>
      <c r="H2" t="s">
        <v>104</v>
      </c>
    </row>
    <row r="3" spans="1:8" x14ac:dyDescent="0.25">
      <c r="A3" t="s">
        <v>414</v>
      </c>
      <c r="B3">
        <v>6</v>
      </c>
      <c r="D3" t="s">
        <v>255</v>
      </c>
      <c r="E3">
        <v>8</v>
      </c>
      <c r="G3" t="s">
        <v>474</v>
      </c>
      <c r="H3">
        <v>2</v>
      </c>
    </row>
    <row r="4" spans="1:8" x14ac:dyDescent="0.25">
      <c r="A4" t="s">
        <v>415</v>
      </c>
      <c r="B4">
        <v>6</v>
      </c>
      <c r="D4" t="s">
        <v>256</v>
      </c>
      <c r="E4">
        <v>9</v>
      </c>
      <c r="G4" t="s">
        <v>475</v>
      </c>
      <c r="H4">
        <v>2</v>
      </c>
    </row>
    <row r="5" spans="1:8" x14ac:dyDescent="0.25">
      <c r="A5" t="s">
        <v>416</v>
      </c>
      <c r="B5">
        <v>9</v>
      </c>
      <c r="D5" t="s">
        <v>257</v>
      </c>
      <c r="E5">
        <v>7</v>
      </c>
      <c r="G5" t="s">
        <v>476</v>
      </c>
      <c r="H5">
        <v>2</v>
      </c>
    </row>
    <row r="6" spans="1:8" x14ac:dyDescent="0.25">
      <c r="A6" t="s">
        <v>105</v>
      </c>
      <c r="B6">
        <v>9</v>
      </c>
      <c r="D6" t="s">
        <v>258</v>
      </c>
      <c r="E6">
        <v>9</v>
      </c>
      <c r="G6" t="s">
        <v>477</v>
      </c>
      <c r="H6">
        <v>4</v>
      </c>
    </row>
    <row r="7" spans="1:8" x14ac:dyDescent="0.25">
      <c r="A7" t="s">
        <v>417</v>
      </c>
      <c r="B7">
        <v>9</v>
      </c>
      <c r="D7" t="s">
        <v>259</v>
      </c>
      <c r="E7">
        <v>8</v>
      </c>
      <c r="G7" t="s">
        <v>478</v>
      </c>
      <c r="H7">
        <v>2</v>
      </c>
    </row>
    <row r="8" spans="1:8" x14ac:dyDescent="0.25">
      <c r="A8" t="s">
        <v>418</v>
      </c>
      <c r="B8">
        <v>6</v>
      </c>
      <c r="D8" t="s">
        <v>260</v>
      </c>
      <c r="E8">
        <v>8</v>
      </c>
      <c r="G8" t="s">
        <v>479</v>
      </c>
      <c r="H8">
        <v>1</v>
      </c>
    </row>
    <row r="9" spans="1:8" x14ac:dyDescent="0.25">
      <c r="A9" t="s">
        <v>106</v>
      </c>
      <c r="B9">
        <v>6</v>
      </c>
      <c r="D9" t="s">
        <v>261</v>
      </c>
      <c r="E9">
        <v>7</v>
      </c>
      <c r="G9" t="s">
        <v>480</v>
      </c>
      <c r="H9">
        <v>3</v>
      </c>
    </row>
    <row r="10" spans="1:8" x14ac:dyDescent="0.25">
      <c r="A10" t="s">
        <v>107</v>
      </c>
      <c r="B10">
        <v>9</v>
      </c>
      <c r="D10" t="s">
        <v>108</v>
      </c>
      <c r="E10">
        <v>8</v>
      </c>
      <c r="G10" t="s">
        <v>481</v>
      </c>
      <c r="H10">
        <v>3</v>
      </c>
    </row>
    <row r="11" spans="1:8" x14ac:dyDescent="0.25">
      <c r="A11" t="s">
        <v>419</v>
      </c>
      <c r="B11">
        <v>6</v>
      </c>
      <c r="D11" t="s">
        <v>262</v>
      </c>
      <c r="E11">
        <v>8</v>
      </c>
      <c r="G11" t="s">
        <v>482</v>
      </c>
      <c r="H11">
        <v>1</v>
      </c>
    </row>
    <row r="12" spans="1:8" x14ac:dyDescent="0.25">
      <c r="A12" t="s">
        <v>420</v>
      </c>
      <c r="B12">
        <v>6</v>
      </c>
      <c r="D12" t="s">
        <v>319</v>
      </c>
      <c r="E12">
        <v>6</v>
      </c>
      <c r="G12" t="s">
        <v>483</v>
      </c>
      <c r="H12">
        <v>2</v>
      </c>
    </row>
    <row r="13" spans="1:8" x14ac:dyDescent="0.25">
      <c r="A13" t="s">
        <v>112</v>
      </c>
      <c r="B13">
        <v>8</v>
      </c>
      <c r="D13" t="s">
        <v>263</v>
      </c>
      <c r="E13">
        <v>8</v>
      </c>
      <c r="G13" t="s">
        <v>484</v>
      </c>
      <c r="H13">
        <v>3</v>
      </c>
    </row>
    <row r="14" spans="1:8" x14ac:dyDescent="0.25">
      <c r="A14" t="s">
        <v>421</v>
      </c>
      <c r="B14">
        <v>8</v>
      </c>
      <c r="D14" t="s">
        <v>109</v>
      </c>
      <c r="E14">
        <v>6</v>
      </c>
      <c r="G14" t="s">
        <v>485</v>
      </c>
      <c r="H14">
        <v>2</v>
      </c>
    </row>
    <row r="15" spans="1:8" x14ac:dyDescent="0.25">
      <c r="A15" t="s">
        <v>265</v>
      </c>
      <c r="B15">
        <v>6</v>
      </c>
      <c r="D15" t="s">
        <v>264</v>
      </c>
      <c r="E15">
        <v>9</v>
      </c>
      <c r="G15" t="s">
        <v>486</v>
      </c>
      <c r="H15">
        <v>3</v>
      </c>
    </row>
    <row r="16" spans="1:8" x14ac:dyDescent="0.25">
      <c r="A16" t="s">
        <v>422</v>
      </c>
      <c r="B16">
        <v>6</v>
      </c>
      <c r="D16" t="s">
        <v>265</v>
      </c>
      <c r="E16">
        <v>7</v>
      </c>
      <c r="G16" t="s">
        <v>487</v>
      </c>
      <c r="H16">
        <v>2</v>
      </c>
    </row>
    <row r="17" spans="1:8" x14ac:dyDescent="0.25">
      <c r="A17" t="s">
        <v>423</v>
      </c>
      <c r="B17">
        <v>7</v>
      </c>
      <c r="D17" t="s">
        <v>266</v>
      </c>
      <c r="E17">
        <v>7</v>
      </c>
      <c r="G17" t="s">
        <v>488</v>
      </c>
      <c r="H17">
        <v>3</v>
      </c>
    </row>
    <row r="18" spans="1:8" x14ac:dyDescent="0.25">
      <c r="A18" t="s">
        <v>424</v>
      </c>
      <c r="B18">
        <v>8</v>
      </c>
      <c r="D18" t="s">
        <v>267</v>
      </c>
      <c r="E18">
        <v>7</v>
      </c>
      <c r="G18" t="s">
        <v>489</v>
      </c>
      <c r="H18">
        <v>2</v>
      </c>
    </row>
    <row r="19" spans="1:8" x14ac:dyDescent="0.25">
      <c r="A19" t="s">
        <v>425</v>
      </c>
      <c r="B19">
        <v>8</v>
      </c>
      <c r="D19" t="s">
        <v>268</v>
      </c>
      <c r="E19">
        <v>7</v>
      </c>
      <c r="G19" t="s">
        <v>490</v>
      </c>
      <c r="H19">
        <v>2</v>
      </c>
    </row>
    <row r="20" spans="1:8" x14ac:dyDescent="0.25">
      <c r="A20" t="s">
        <v>426</v>
      </c>
      <c r="B20">
        <v>7</v>
      </c>
      <c r="D20" t="s">
        <v>269</v>
      </c>
      <c r="E20">
        <v>9</v>
      </c>
      <c r="G20" t="s">
        <v>491</v>
      </c>
      <c r="H20">
        <v>2</v>
      </c>
    </row>
    <row r="21" spans="1:8" x14ac:dyDescent="0.25">
      <c r="A21" t="s">
        <v>427</v>
      </c>
      <c r="B21">
        <v>7</v>
      </c>
      <c r="D21" t="s">
        <v>270</v>
      </c>
      <c r="E21">
        <v>8</v>
      </c>
      <c r="G21" t="s">
        <v>492</v>
      </c>
      <c r="H21">
        <v>2</v>
      </c>
    </row>
    <row r="22" spans="1:8" x14ac:dyDescent="0.25">
      <c r="A22" t="s">
        <v>428</v>
      </c>
      <c r="B22">
        <v>6</v>
      </c>
      <c r="D22" t="s">
        <v>271</v>
      </c>
      <c r="E22">
        <v>8</v>
      </c>
      <c r="G22" t="s">
        <v>493</v>
      </c>
      <c r="H22">
        <v>3</v>
      </c>
    </row>
    <row r="23" spans="1:8" x14ac:dyDescent="0.25">
      <c r="A23" t="s">
        <v>429</v>
      </c>
      <c r="B23">
        <v>6</v>
      </c>
      <c r="D23" t="s">
        <v>272</v>
      </c>
      <c r="E23">
        <v>8</v>
      </c>
      <c r="G23" t="s">
        <v>494</v>
      </c>
      <c r="H23">
        <v>3</v>
      </c>
    </row>
    <row r="24" spans="1:8" x14ac:dyDescent="0.25">
      <c r="A24" t="s">
        <v>430</v>
      </c>
      <c r="B24">
        <v>6</v>
      </c>
      <c r="D24" t="s">
        <v>273</v>
      </c>
      <c r="E24">
        <v>9</v>
      </c>
      <c r="G24" t="s">
        <v>495</v>
      </c>
      <c r="H24">
        <v>2</v>
      </c>
    </row>
    <row r="25" spans="1:8" x14ac:dyDescent="0.25">
      <c r="A25" t="s">
        <v>431</v>
      </c>
      <c r="B25">
        <v>7</v>
      </c>
      <c r="D25" t="s">
        <v>274</v>
      </c>
      <c r="E25">
        <v>9</v>
      </c>
      <c r="G25" t="s">
        <v>496</v>
      </c>
      <c r="H25">
        <v>1</v>
      </c>
    </row>
    <row r="26" spans="1:8" x14ac:dyDescent="0.25">
      <c r="A26" t="s">
        <v>113</v>
      </c>
      <c r="B26">
        <v>8</v>
      </c>
      <c r="D26" t="s">
        <v>275</v>
      </c>
      <c r="E26">
        <v>8</v>
      </c>
      <c r="G26" t="s">
        <v>497</v>
      </c>
      <c r="H26">
        <v>4</v>
      </c>
    </row>
    <row r="27" spans="1:8" x14ac:dyDescent="0.25">
      <c r="A27" t="s">
        <v>432</v>
      </c>
      <c r="B27">
        <v>8</v>
      </c>
      <c r="D27" t="s">
        <v>276</v>
      </c>
      <c r="E27">
        <v>7</v>
      </c>
      <c r="G27" t="s">
        <v>498</v>
      </c>
      <c r="H27">
        <v>2</v>
      </c>
    </row>
    <row r="28" spans="1:8" x14ac:dyDescent="0.25">
      <c r="A28" t="s">
        <v>433</v>
      </c>
      <c r="B28">
        <v>7</v>
      </c>
      <c r="D28" t="s">
        <v>277</v>
      </c>
      <c r="E28">
        <v>7</v>
      </c>
      <c r="G28" t="s">
        <v>499</v>
      </c>
      <c r="H28">
        <v>3</v>
      </c>
    </row>
    <row r="29" spans="1:8" x14ac:dyDescent="0.25">
      <c r="A29" t="s">
        <v>115</v>
      </c>
      <c r="B29">
        <v>6</v>
      </c>
      <c r="D29" t="s">
        <v>115</v>
      </c>
      <c r="E29">
        <v>9</v>
      </c>
      <c r="G29" t="s">
        <v>500</v>
      </c>
      <c r="H29">
        <v>2</v>
      </c>
    </row>
    <row r="30" spans="1:8" x14ac:dyDescent="0.25">
      <c r="A30" t="s">
        <v>114</v>
      </c>
      <c r="B30">
        <v>8</v>
      </c>
      <c r="D30" t="s">
        <v>278</v>
      </c>
      <c r="E30">
        <v>7</v>
      </c>
      <c r="G30" t="s">
        <v>110</v>
      </c>
      <c r="H30">
        <v>3</v>
      </c>
    </row>
    <row r="31" spans="1:8" x14ac:dyDescent="0.25">
      <c r="A31" t="s">
        <v>434</v>
      </c>
      <c r="B31">
        <v>7</v>
      </c>
      <c r="D31" t="s">
        <v>279</v>
      </c>
      <c r="E31">
        <v>7</v>
      </c>
      <c r="G31" t="s">
        <v>106</v>
      </c>
      <c r="H31">
        <v>4</v>
      </c>
    </row>
    <row r="32" spans="1:8" x14ac:dyDescent="0.25">
      <c r="A32" t="s">
        <v>435</v>
      </c>
      <c r="B32">
        <v>7</v>
      </c>
      <c r="D32" t="s">
        <v>280</v>
      </c>
      <c r="E32">
        <v>9</v>
      </c>
      <c r="G32" t="s">
        <v>501</v>
      </c>
      <c r="H32">
        <v>2</v>
      </c>
    </row>
    <row r="33" spans="1:8" x14ac:dyDescent="0.25">
      <c r="A33" t="s">
        <v>436</v>
      </c>
      <c r="B33">
        <v>7</v>
      </c>
      <c r="D33" t="s">
        <v>281</v>
      </c>
      <c r="E33">
        <v>7</v>
      </c>
      <c r="G33" t="s">
        <v>111</v>
      </c>
      <c r="H33">
        <v>4</v>
      </c>
    </row>
    <row r="34" spans="1:8" x14ac:dyDescent="0.25">
      <c r="A34" t="s">
        <v>437</v>
      </c>
      <c r="B34">
        <v>8</v>
      </c>
      <c r="D34" t="s">
        <v>282</v>
      </c>
      <c r="E34">
        <v>7</v>
      </c>
      <c r="G34" t="s">
        <v>502</v>
      </c>
      <c r="H34">
        <v>2</v>
      </c>
    </row>
    <row r="35" spans="1:8" x14ac:dyDescent="0.25">
      <c r="A35" t="s">
        <v>438</v>
      </c>
      <c r="B35">
        <v>8</v>
      </c>
      <c r="D35" t="s">
        <v>117</v>
      </c>
      <c r="E35">
        <v>7</v>
      </c>
      <c r="G35" t="s">
        <v>503</v>
      </c>
      <c r="H35">
        <v>1</v>
      </c>
    </row>
    <row r="36" spans="1:8" x14ac:dyDescent="0.25">
      <c r="A36" t="s">
        <v>117</v>
      </c>
      <c r="B36">
        <v>8</v>
      </c>
      <c r="D36" t="s">
        <v>118</v>
      </c>
      <c r="E36">
        <v>6</v>
      </c>
      <c r="G36" t="s">
        <v>504</v>
      </c>
      <c r="H36">
        <v>2</v>
      </c>
    </row>
    <row r="37" spans="1:8" x14ac:dyDescent="0.25">
      <c r="A37" t="s">
        <v>118</v>
      </c>
      <c r="B37">
        <v>6</v>
      </c>
      <c r="D37" t="s">
        <v>320</v>
      </c>
      <c r="E37">
        <v>6</v>
      </c>
      <c r="G37" t="s">
        <v>505</v>
      </c>
      <c r="H37">
        <v>1</v>
      </c>
    </row>
    <row r="38" spans="1:8" x14ac:dyDescent="0.25">
      <c r="A38" t="s">
        <v>439</v>
      </c>
      <c r="B38">
        <v>8</v>
      </c>
      <c r="D38" t="s">
        <v>283</v>
      </c>
      <c r="E38">
        <v>9</v>
      </c>
      <c r="G38" t="s">
        <v>506</v>
      </c>
      <c r="H38">
        <v>3</v>
      </c>
    </row>
    <row r="39" spans="1:8" x14ac:dyDescent="0.25">
      <c r="A39" t="s">
        <v>119</v>
      </c>
      <c r="B39">
        <v>6</v>
      </c>
      <c r="D39" t="s">
        <v>284</v>
      </c>
      <c r="E39">
        <v>8</v>
      </c>
      <c r="G39" t="s">
        <v>263</v>
      </c>
      <c r="H39">
        <v>2</v>
      </c>
    </row>
    <row r="40" spans="1:8" x14ac:dyDescent="0.25">
      <c r="A40" t="s">
        <v>127</v>
      </c>
      <c r="B40">
        <v>8</v>
      </c>
      <c r="D40" t="s">
        <v>285</v>
      </c>
      <c r="E40">
        <v>7</v>
      </c>
      <c r="G40" t="s">
        <v>507</v>
      </c>
      <c r="H40">
        <v>1</v>
      </c>
    </row>
    <row r="41" spans="1:8" x14ac:dyDescent="0.25">
      <c r="A41" t="s">
        <v>128</v>
      </c>
      <c r="B41">
        <v>7</v>
      </c>
      <c r="D41" t="s">
        <v>286</v>
      </c>
      <c r="E41">
        <v>7</v>
      </c>
      <c r="G41" t="s">
        <v>112</v>
      </c>
      <c r="H41">
        <v>2</v>
      </c>
    </row>
    <row r="42" spans="1:8" x14ac:dyDescent="0.25">
      <c r="A42" t="s">
        <v>122</v>
      </c>
      <c r="B42">
        <v>6</v>
      </c>
      <c r="D42" t="s">
        <v>287</v>
      </c>
      <c r="E42">
        <v>7</v>
      </c>
      <c r="G42" t="s">
        <v>508</v>
      </c>
      <c r="H42">
        <v>1</v>
      </c>
    </row>
    <row r="43" spans="1:8" x14ac:dyDescent="0.25">
      <c r="A43" t="s">
        <v>440</v>
      </c>
      <c r="B43">
        <v>6</v>
      </c>
      <c r="D43" t="s">
        <v>122</v>
      </c>
      <c r="E43">
        <v>7</v>
      </c>
      <c r="G43" t="s">
        <v>509</v>
      </c>
      <c r="H43">
        <v>2</v>
      </c>
    </row>
    <row r="44" spans="1:8" x14ac:dyDescent="0.25">
      <c r="A44" t="s">
        <v>288</v>
      </c>
      <c r="B44">
        <v>7</v>
      </c>
      <c r="D44" t="s">
        <v>288</v>
      </c>
      <c r="E44">
        <v>8</v>
      </c>
      <c r="G44" t="s">
        <v>510</v>
      </c>
      <c r="H44">
        <v>2</v>
      </c>
    </row>
    <row r="45" spans="1:8" x14ac:dyDescent="0.25">
      <c r="A45" t="s">
        <v>441</v>
      </c>
      <c r="B45">
        <v>7</v>
      </c>
      <c r="D45" t="s">
        <v>321</v>
      </c>
      <c r="E45">
        <v>6</v>
      </c>
      <c r="G45" t="s">
        <v>511</v>
      </c>
      <c r="H45">
        <v>2</v>
      </c>
    </row>
    <row r="46" spans="1:8" x14ac:dyDescent="0.25">
      <c r="A46" t="s">
        <v>123</v>
      </c>
      <c r="B46">
        <v>9</v>
      </c>
      <c r="D46" t="s">
        <v>289</v>
      </c>
      <c r="E46">
        <v>9</v>
      </c>
      <c r="G46" t="s">
        <v>512</v>
      </c>
      <c r="H46">
        <v>1</v>
      </c>
    </row>
    <row r="47" spans="1:8" x14ac:dyDescent="0.25">
      <c r="A47" t="s">
        <v>131</v>
      </c>
      <c r="B47">
        <v>9</v>
      </c>
      <c r="D47" t="s">
        <v>132</v>
      </c>
      <c r="E47">
        <v>6</v>
      </c>
      <c r="G47" t="s">
        <v>513</v>
      </c>
      <c r="H47">
        <v>3</v>
      </c>
    </row>
    <row r="48" spans="1:8" x14ac:dyDescent="0.25">
      <c r="A48" t="s">
        <v>442</v>
      </c>
      <c r="B48">
        <v>6</v>
      </c>
      <c r="D48" t="s">
        <v>290</v>
      </c>
      <c r="E48">
        <v>8</v>
      </c>
      <c r="G48" t="s">
        <v>514</v>
      </c>
      <c r="H48">
        <v>3</v>
      </c>
    </row>
    <row r="49" spans="1:8" x14ac:dyDescent="0.25">
      <c r="A49" t="s">
        <v>443</v>
      </c>
      <c r="B49">
        <v>8</v>
      </c>
      <c r="D49" t="s">
        <v>291</v>
      </c>
      <c r="E49">
        <v>7</v>
      </c>
      <c r="G49" t="s">
        <v>267</v>
      </c>
      <c r="H49">
        <v>2</v>
      </c>
    </row>
    <row r="50" spans="1:8" x14ac:dyDescent="0.25">
      <c r="A50" t="s">
        <v>133</v>
      </c>
      <c r="B50">
        <v>7</v>
      </c>
      <c r="D50" t="s">
        <v>292</v>
      </c>
      <c r="E50">
        <v>7</v>
      </c>
      <c r="G50" t="s">
        <v>515</v>
      </c>
      <c r="H50">
        <v>2</v>
      </c>
    </row>
    <row r="51" spans="1:8" x14ac:dyDescent="0.25">
      <c r="A51" t="s">
        <v>134</v>
      </c>
      <c r="B51">
        <v>8</v>
      </c>
      <c r="D51" t="s">
        <v>293</v>
      </c>
      <c r="E51">
        <v>7</v>
      </c>
      <c r="G51" t="s">
        <v>516</v>
      </c>
      <c r="H51">
        <v>2</v>
      </c>
    </row>
    <row r="52" spans="1:8" x14ac:dyDescent="0.25">
      <c r="A52" t="s">
        <v>444</v>
      </c>
      <c r="B52">
        <v>6</v>
      </c>
      <c r="D52" t="s">
        <v>294</v>
      </c>
      <c r="E52">
        <v>7</v>
      </c>
      <c r="G52" t="s">
        <v>517</v>
      </c>
      <c r="H52">
        <v>2</v>
      </c>
    </row>
    <row r="53" spans="1:8" x14ac:dyDescent="0.25">
      <c r="A53" t="s">
        <v>135</v>
      </c>
      <c r="B53">
        <v>9</v>
      </c>
      <c r="D53" t="s">
        <v>295</v>
      </c>
      <c r="E53">
        <v>7</v>
      </c>
      <c r="G53" t="s">
        <v>518</v>
      </c>
      <c r="H53">
        <v>1</v>
      </c>
    </row>
    <row r="54" spans="1:8" x14ac:dyDescent="0.25">
      <c r="A54" t="s">
        <v>126</v>
      </c>
      <c r="B54">
        <v>6</v>
      </c>
      <c r="D54" t="s">
        <v>296</v>
      </c>
      <c r="E54">
        <v>8</v>
      </c>
      <c r="G54" t="s">
        <v>519</v>
      </c>
      <c r="H54">
        <v>2</v>
      </c>
    </row>
    <row r="55" spans="1:8" x14ac:dyDescent="0.25">
      <c r="A55" t="s">
        <v>137</v>
      </c>
      <c r="B55">
        <v>7</v>
      </c>
      <c r="D55" t="s">
        <v>297</v>
      </c>
      <c r="E55">
        <v>9</v>
      </c>
      <c r="G55" t="s">
        <v>520</v>
      </c>
      <c r="H55">
        <v>2</v>
      </c>
    </row>
    <row r="56" spans="1:8" x14ac:dyDescent="0.25">
      <c r="A56" t="s">
        <v>445</v>
      </c>
      <c r="B56">
        <v>7</v>
      </c>
      <c r="D56" t="s">
        <v>298</v>
      </c>
      <c r="E56">
        <v>7</v>
      </c>
      <c r="G56" t="s">
        <v>521</v>
      </c>
      <c r="H56">
        <v>1</v>
      </c>
    </row>
    <row r="57" spans="1:8" x14ac:dyDescent="0.25">
      <c r="A57" t="s">
        <v>139</v>
      </c>
      <c r="B57">
        <v>7</v>
      </c>
      <c r="D57" t="s">
        <v>299</v>
      </c>
      <c r="E57">
        <v>8</v>
      </c>
      <c r="G57" t="s">
        <v>522</v>
      </c>
      <c r="H57">
        <v>2</v>
      </c>
    </row>
    <row r="58" spans="1:8" x14ac:dyDescent="0.25">
      <c r="A58" t="s">
        <v>446</v>
      </c>
      <c r="B58">
        <v>8</v>
      </c>
      <c r="D58" t="s">
        <v>300</v>
      </c>
      <c r="E58">
        <v>8</v>
      </c>
      <c r="G58" t="s">
        <v>523</v>
      </c>
      <c r="H58">
        <v>1</v>
      </c>
    </row>
    <row r="59" spans="1:8" x14ac:dyDescent="0.25">
      <c r="A59" t="s">
        <v>447</v>
      </c>
      <c r="B59">
        <v>8</v>
      </c>
      <c r="D59" t="s">
        <v>301</v>
      </c>
      <c r="E59">
        <v>8</v>
      </c>
      <c r="G59" t="s">
        <v>428</v>
      </c>
      <c r="H59">
        <v>2</v>
      </c>
    </row>
    <row r="60" spans="1:8" x14ac:dyDescent="0.25">
      <c r="A60" t="s">
        <v>448</v>
      </c>
      <c r="B60">
        <v>8</v>
      </c>
      <c r="D60" t="s">
        <v>302</v>
      </c>
      <c r="E60">
        <v>9</v>
      </c>
      <c r="G60" t="s">
        <v>524</v>
      </c>
      <c r="H60">
        <v>2</v>
      </c>
    </row>
    <row r="61" spans="1:8" x14ac:dyDescent="0.25">
      <c r="A61" t="s">
        <v>449</v>
      </c>
      <c r="B61">
        <v>7</v>
      </c>
      <c r="D61" t="s">
        <v>303</v>
      </c>
      <c r="E61">
        <v>8</v>
      </c>
      <c r="G61" t="s">
        <v>525</v>
      </c>
      <c r="H61">
        <v>3</v>
      </c>
    </row>
    <row r="62" spans="1:8" x14ac:dyDescent="0.25">
      <c r="A62" t="s">
        <v>450</v>
      </c>
      <c r="B62">
        <v>7</v>
      </c>
      <c r="D62" t="s">
        <v>304</v>
      </c>
      <c r="E62">
        <v>8</v>
      </c>
      <c r="G62" t="s">
        <v>526</v>
      </c>
      <c r="H62">
        <v>1</v>
      </c>
    </row>
    <row r="63" spans="1:8" x14ac:dyDescent="0.25">
      <c r="A63" t="s">
        <v>451</v>
      </c>
      <c r="B63">
        <v>8</v>
      </c>
      <c r="D63" t="s">
        <v>305</v>
      </c>
      <c r="E63">
        <v>7</v>
      </c>
      <c r="G63" t="s">
        <v>527</v>
      </c>
      <c r="H63">
        <v>2</v>
      </c>
    </row>
    <row r="64" spans="1:8" x14ac:dyDescent="0.25">
      <c r="A64" t="s">
        <v>452</v>
      </c>
      <c r="B64">
        <v>7</v>
      </c>
      <c r="D64" t="s">
        <v>140</v>
      </c>
      <c r="E64">
        <v>7</v>
      </c>
      <c r="G64" t="s">
        <v>528</v>
      </c>
      <c r="H64">
        <v>2</v>
      </c>
    </row>
    <row r="65" spans="1:8" x14ac:dyDescent="0.25">
      <c r="A65" t="s">
        <v>142</v>
      </c>
      <c r="B65">
        <v>7</v>
      </c>
      <c r="D65" t="s">
        <v>306</v>
      </c>
      <c r="E65">
        <v>7</v>
      </c>
      <c r="G65" t="s">
        <v>529</v>
      </c>
      <c r="H65">
        <v>1</v>
      </c>
    </row>
    <row r="66" spans="1:8" x14ac:dyDescent="0.25">
      <c r="A66" t="s">
        <v>453</v>
      </c>
      <c r="B66">
        <v>9</v>
      </c>
      <c r="D66" t="s">
        <v>322</v>
      </c>
      <c r="E66">
        <v>6</v>
      </c>
      <c r="G66" t="s">
        <v>530</v>
      </c>
      <c r="H66">
        <v>3</v>
      </c>
    </row>
    <row r="67" spans="1:8" x14ac:dyDescent="0.25">
      <c r="A67" t="s">
        <v>454</v>
      </c>
      <c r="B67">
        <v>8</v>
      </c>
      <c r="D67" t="s">
        <v>307</v>
      </c>
      <c r="E67">
        <v>9</v>
      </c>
      <c r="G67" t="s">
        <v>531</v>
      </c>
      <c r="H67">
        <v>1</v>
      </c>
    </row>
    <row r="68" spans="1:8" x14ac:dyDescent="0.25">
      <c r="A68" t="s">
        <v>455</v>
      </c>
      <c r="B68">
        <v>7</v>
      </c>
      <c r="D68" t="s">
        <v>308</v>
      </c>
      <c r="E68">
        <v>9</v>
      </c>
      <c r="G68" t="s">
        <v>532</v>
      </c>
      <c r="H68">
        <v>4</v>
      </c>
    </row>
    <row r="69" spans="1:8" x14ac:dyDescent="0.25">
      <c r="A69" t="s">
        <v>456</v>
      </c>
      <c r="B69">
        <v>8</v>
      </c>
      <c r="D69" t="s">
        <v>309</v>
      </c>
      <c r="E69">
        <v>7</v>
      </c>
      <c r="G69" t="s">
        <v>533</v>
      </c>
      <c r="H69">
        <v>2</v>
      </c>
    </row>
    <row r="70" spans="1:8" x14ac:dyDescent="0.25">
      <c r="A70" t="s">
        <v>457</v>
      </c>
      <c r="B70">
        <v>7</v>
      </c>
      <c r="D70" t="s">
        <v>310</v>
      </c>
      <c r="E70">
        <v>7</v>
      </c>
      <c r="G70" t="s">
        <v>534</v>
      </c>
      <c r="H70">
        <v>2</v>
      </c>
    </row>
    <row r="71" spans="1:8" x14ac:dyDescent="0.25">
      <c r="A71" t="s">
        <v>144</v>
      </c>
      <c r="B71">
        <v>9</v>
      </c>
      <c r="D71" t="s">
        <v>311</v>
      </c>
      <c r="E71">
        <v>7</v>
      </c>
      <c r="G71" t="s">
        <v>535</v>
      </c>
      <c r="H71">
        <v>2</v>
      </c>
    </row>
    <row r="72" spans="1:8" x14ac:dyDescent="0.25">
      <c r="A72" t="s">
        <v>138</v>
      </c>
      <c r="B72">
        <v>6</v>
      </c>
      <c r="D72" t="s">
        <v>312</v>
      </c>
      <c r="E72">
        <v>9</v>
      </c>
      <c r="G72" t="s">
        <v>536</v>
      </c>
      <c r="H72">
        <v>5</v>
      </c>
    </row>
    <row r="73" spans="1:8" x14ac:dyDescent="0.25">
      <c r="A73" t="s">
        <v>458</v>
      </c>
      <c r="B73">
        <v>8</v>
      </c>
      <c r="D73" t="s">
        <v>313</v>
      </c>
      <c r="E73">
        <v>7</v>
      </c>
      <c r="G73" t="s">
        <v>274</v>
      </c>
      <c r="H73">
        <v>2</v>
      </c>
    </row>
    <row r="74" spans="1:8" x14ac:dyDescent="0.25">
      <c r="A74" t="s">
        <v>141</v>
      </c>
      <c r="B74">
        <v>9</v>
      </c>
      <c r="D74" t="s">
        <v>314</v>
      </c>
      <c r="E74">
        <v>8</v>
      </c>
      <c r="G74" t="s">
        <v>537</v>
      </c>
      <c r="H74">
        <v>2</v>
      </c>
    </row>
    <row r="75" spans="1:8" x14ac:dyDescent="0.25">
      <c r="A75" t="s">
        <v>459</v>
      </c>
      <c r="B75">
        <v>7</v>
      </c>
      <c r="D75" t="s">
        <v>315</v>
      </c>
      <c r="E75">
        <v>8</v>
      </c>
      <c r="G75" t="s">
        <v>538</v>
      </c>
      <c r="H75">
        <v>2</v>
      </c>
    </row>
    <row r="76" spans="1:8" x14ac:dyDescent="0.25">
      <c r="A76" t="s">
        <v>460</v>
      </c>
      <c r="B76">
        <v>7</v>
      </c>
      <c r="D76" t="s">
        <v>141</v>
      </c>
      <c r="E76">
        <v>9</v>
      </c>
      <c r="G76" t="s">
        <v>539</v>
      </c>
      <c r="H76">
        <v>2</v>
      </c>
    </row>
    <row r="77" spans="1:8" x14ac:dyDescent="0.25">
      <c r="A77" t="s">
        <v>461</v>
      </c>
      <c r="B77">
        <v>7</v>
      </c>
      <c r="D77" t="s">
        <v>316</v>
      </c>
      <c r="E77">
        <v>8</v>
      </c>
      <c r="G77" t="s">
        <v>540</v>
      </c>
      <c r="H77">
        <v>3</v>
      </c>
    </row>
    <row r="78" spans="1:8" x14ac:dyDescent="0.25">
      <c r="D78" t="s">
        <v>317</v>
      </c>
      <c r="E78">
        <v>9</v>
      </c>
      <c r="G78" t="s">
        <v>541</v>
      </c>
      <c r="H78">
        <v>2</v>
      </c>
    </row>
    <row r="79" spans="1:8" x14ac:dyDescent="0.25">
      <c r="D79" t="s">
        <v>318</v>
      </c>
      <c r="E79">
        <v>9</v>
      </c>
      <c r="G79" t="s">
        <v>542</v>
      </c>
      <c r="H79">
        <v>1</v>
      </c>
    </row>
    <row r="80" spans="1:8" x14ac:dyDescent="0.25">
      <c r="G80" t="s">
        <v>543</v>
      </c>
      <c r="H80">
        <v>1</v>
      </c>
    </row>
    <row r="81" spans="7:8" x14ac:dyDescent="0.25">
      <c r="G81" t="s">
        <v>544</v>
      </c>
      <c r="H81">
        <v>3</v>
      </c>
    </row>
    <row r="82" spans="7:8" x14ac:dyDescent="0.25">
      <c r="G82" t="s">
        <v>113</v>
      </c>
      <c r="H82">
        <v>2</v>
      </c>
    </row>
    <row r="83" spans="7:8" x14ac:dyDescent="0.25">
      <c r="G83" t="s">
        <v>545</v>
      </c>
      <c r="H83">
        <v>2</v>
      </c>
    </row>
    <row r="84" spans="7:8" x14ac:dyDescent="0.25">
      <c r="G84" t="s">
        <v>546</v>
      </c>
      <c r="H84">
        <v>3</v>
      </c>
    </row>
    <row r="85" spans="7:8" x14ac:dyDescent="0.25">
      <c r="G85" t="s">
        <v>547</v>
      </c>
      <c r="H85">
        <v>1</v>
      </c>
    </row>
    <row r="86" spans="7:8" x14ac:dyDescent="0.25">
      <c r="G86" t="s">
        <v>548</v>
      </c>
      <c r="H86">
        <v>3</v>
      </c>
    </row>
    <row r="87" spans="7:8" x14ac:dyDescent="0.25">
      <c r="G87" t="s">
        <v>549</v>
      </c>
      <c r="H87">
        <v>1</v>
      </c>
    </row>
    <row r="88" spans="7:8" x14ac:dyDescent="0.25">
      <c r="G88" t="s">
        <v>550</v>
      </c>
      <c r="H88">
        <v>2</v>
      </c>
    </row>
    <row r="89" spans="7:8" x14ac:dyDescent="0.25">
      <c r="G89" t="s">
        <v>551</v>
      </c>
      <c r="H89">
        <v>2</v>
      </c>
    </row>
    <row r="90" spans="7:8" x14ac:dyDescent="0.25">
      <c r="G90" t="s">
        <v>552</v>
      </c>
      <c r="H90">
        <v>3</v>
      </c>
    </row>
    <row r="91" spans="7:8" x14ac:dyDescent="0.25">
      <c r="G91" t="s">
        <v>553</v>
      </c>
      <c r="H91">
        <v>3</v>
      </c>
    </row>
    <row r="92" spans="7:8" x14ac:dyDescent="0.25">
      <c r="G92" t="s">
        <v>554</v>
      </c>
      <c r="H92">
        <v>1</v>
      </c>
    </row>
    <row r="93" spans="7:8" x14ac:dyDescent="0.25">
      <c r="G93" t="s">
        <v>555</v>
      </c>
      <c r="H93">
        <v>2</v>
      </c>
    </row>
    <row r="94" spans="7:8" x14ac:dyDescent="0.25">
      <c r="G94" t="s">
        <v>556</v>
      </c>
      <c r="H94">
        <v>2</v>
      </c>
    </row>
    <row r="95" spans="7:8" x14ac:dyDescent="0.25">
      <c r="G95" t="s">
        <v>557</v>
      </c>
      <c r="H95">
        <v>3</v>
      </c>
    </row>
    <row r="96" spans="7:8" x14ac:dyDescent="0.25">
      <c r="G96" t="s">
        <v>558</v>
      </c>
      <c r="H96">
        <v>3</v>
      </c>
    </row>
    <row r="97" spans="7:8" x14ac:dyDescent="0.25">
      <c r="G97" t="s">
        <v>559</v>
      </c>
      <c r="H97">
        <v>1</v>
      </c>
    </row>
    <row r="98" spans="7:8" x14ac:dyDescent="0.25">
      <c r="G98" t="s">
        <v>560</v>
      </c>
      <c r="H98">
        <v>1</v>
      </c>
    </row>
    <row r="99" spans="7:8" x14ac:dyDescent="0.25">
      <c r="G99" t="s">
        <v>561</v>
      </c>
      <c r="H99">
        <v>2</v>
      </c>
    </row>
    <row r="100" spans="7:8" x14ac:dyDescent="0.25">
      <c r="G100" t="s">
        <v>562</v>
      </c>
      <c r="H100">
        <v>1</v>
      </c>
    </row>
    <row r="101" spans="7:8" x14ac:dyDescent="0.25">
      <c r="G101" t="s">
        <v>563</v>
      </c>
      <c r="H101">
        <v>1</v>
      </c>
    </row>
    <row r="102" spans="7:8" x14ac:dyDescent="0.25">
      <c r="G102" t="s">
        <v>564</v>
      </c>
      <c r="H102">
        <v>3</v>
      </c>
    </row>
    <row r="103" spans="7:8" x14ac:dyDescent="0.25">
      <c r="G103" t="s">
        <v>565</v>
      </c>
      <c r="H103">
        <v>3</v>
      </c>
    </row>
    <row r="104" spans="7:8" x14ac:dyDescent="0.25">
      <c r="G104" t="s">
        <v>116</v>
      </c>
      <c r="H104">
        <v>2</v>
      </c>
    </row>
    <row r="105" spans="7:8" x14ac:dyDescent="0.25">
      <c r="G105" t="s">
        <v>566</v>
      </c>
      <c r="H105">
        <v>1</v>
      </c>
    </row>
    <row r="106" spans="7:8" x14ac:dyDescent="0.25">
      <c r="G106" t="s">
        <v>281</v>
      </c>
      <c r="H106">
        <v>2</v>
      </c>
    </row>
    <row r="107" spans="7:8" x14ac:dyDescent="0.25">
      <c r="G107" t="s">
        <v>567</v>
      </c>
      <c r="H107">
        <v>2</v>
      </c>
    </row>
    <row r="108" spans="7:8" x14ac:dyDescent="0.25">
      <c r="G108" t="s">
        <v>568</v>
      </c>
      <c r="H108">
        <v>1</v>
      </c>
    </row>
    <row r="109" spans="7:8" x14ac:dyDescent="0.25">
      <c r="G109" t="s">
        <v>569</v>
      </c>
      <c r="H109">
        <v>2</v>
      </c>
    </row>
    <row r="110" spans="7:8" x14ac:dyDescent="0.25">
      <c r="G110" t="s">
        <v>570</v>
      </c>
      <c r="H110">
        <v>4</v>
      </c>
    </row>
    <row r="111" spans="7:8" x14ac:dyDescent="0.25">
      <c r="G111" t="s">
        <v>571</v>
      </c>
      <c r="H111">
        <v>2</v>
      </c>
    </row>
    <row r="112" spans="7:8" x14ac:dyDescent="0.25">
      <c r="G112" t="s">
        <v>572</v>
      </c>
      <c r="H112">
        <v>1</v>
      </c>
    </row>
    <row r="113" spans="7:8" x14ac:dyDescent="0.25">
      <c r="G113" t="s">
        <v>573</v>
      </c>
      <c r="H113">
        <v>2</v>
      </c>
    </row>
    <row r="114" spans="7:8" x14ac:dyDescent="0.25">
      <c r="G114" t="s">
        <v>574</v>
      </c>
      <c r="H114">
        <v>2</v>
      </c>
    </row>
    <row r="115" spans="7:8" x14ac:dyDescent="0.25">
      <c r="G115" t="s">
        <v>575</v>
      </c>
      <c r="H115">
        <v>3</v>
      </c>
    </row>
    <row r="116" spans="7:8" x14ac:dyDescent="0.25">
      <c r="G116" t="s">
        <v>436</v>
      </c>
      <c r="H116">
        <v>2</v>
      </c>
    </row>
    <row r="117" spans="7:8" x14ac:dyDescent="0.25">
      <c r="G117" t="s">
        <v>576</v>
      </c>
      <c r="H117">
        <v>5</v>
      </c>
    </row>
    <row r="118" spans="7:8" x14ac:dyDescent="0.25">
      <c r="G118" t="s">
        <v>577</v>
      </c>
      <c r="H118">
        <v>2</v>
      </c>
    </row>
    <row r="119" spans="7:8" x14ac:dyDescent="0.25">
      <c r="G119" t="s">
        <v>578</v>
      </c>
      <c r="H119">
        <v>1</v>
      </c>
    </row>
    <row r="120" spans="7:8" x14ac:dyDescent="0.25">
      <c r="G120" t="s">
        <v>579</v>
      </c>
      <c r="H120">
        <v>2</v>
      </c>
    </row>
    <row r="121" spans="7:8" x14ac:dyDescent="0.25">
      <c r="G121" t="s">
        <v>580</v>
      </c>
      <c r="H121">
        <v>2</v>
      </c>
    </row>
    <row r="122" spans="7:8" x14ac:dyDescent="0.25">
      <c r="G122" t="s">
        <v>117</v>
      </c>
      <c r="H122">
        <v>3</v>
      </c>
    </row>
    <row r="123" spans="7:8" x14ac:dyDescent="0.25">
      <c r="G123" t="s">
        <v>121</v>
      </c>
      <c r="H123">
        <v>2</v>
      </c>
    </row>
    <row r="124" spans="7:8" x14ac:dyDescent="0.25">
      <c r="G124" t="s">
        <v>581</v>
      </c>
      <c r="H124">
        <v>2</v>
      </c>
    </row>
    <row r="125" spans="7:8" x14ac:dyDescent="0.25">
      <c r="G125" t="s">
        <v>118</v>
      </c>
      <c r="H125">
        <v>3</v>
      </c>
    </row>
    <row r="126" spans="7:8" x14ac:dyDescent="0.25">
      <c r="G126" t="s">
        <v>582</v>
      </c>
      <c r="H126">
        <v>4</v>
      </c>
    </row>
    <row r="127" spans="7:8" x14ac:dyDescent="0.25">
      <c r="G127" t="s">
        <v>583</v>
      </c>
      <c r="H127">
        <v>4</v>
      </c>
    </row>
    <row r="128" spans="7:8" x14ac:dyDescent="0.25">
      <c r="G128" t="s">
        <v>439</v>
      </c>
      <c r="H128">
        <v>2</v>
      </c>
    </row>
    <row r="129" spans="7:8" x14ac:dyDescent="0.25">
      <c r="G129" t="s">
        <v>124</v>
      </c>
      <c r="H129">
        <v>2</v>
      </c>
    </row>
    <row r="130" spans="7:8" x14ac:dyDescent="0.25">
      <c r="G130" t="s">
        <v>584</v>
      </c>
      <c r="H130">
        <v>3</v>
      </c>
    </row>
    <row r="131" spans="7:8" x14ac:dyDescent="0.25">
      <c r="G131" t="s">
        <v>585</v>
      </c>
      <c r="H131">
        <v>2</v>
      </c>
    </row>
    <row r="132" spans="7:8" x14ac:dyDescent="0.25">
      <c r="G132" t="s">
        <v>586</v>
      </c>
      <c r="H132">
        <v>2</v>
      </c>
    </row>
    <row r="133" spans="7:8" x14ac:dyDescent="0.25">
      <c r="G133" t="s">
        <v>587</v>
      </c>
      <c r="H133">
        <v>4</v>
      </c>
    </row>
    <row r="134" spans="7:8" x14ac:dyDescent="0.25">
      <c r="G134" t="s">
        <v>588</v>
      </c>
      <c r="H134">
        <v>1</v>
      </c>
    </row>
    <row r="135" spans="7:8" x14ac:dyDescent="0.25">
      <c r="G135" t="s">
        <v>589</v>
      </c>
      <c r="H135">
        <v>2</v>
      </c>
    </row>
    <row r="136" spans="7:8" x14ac:dyDescent="0.25">
      <c r="G136" t="s">
        <v>590</v>
      </c>
      <c r="H136">
        <v>2</v>
      </c>
    </row>
    <row r="137" spans="7:8" x14ac:dyDescent="0.25">
      <c r="G137" t="s">
        <v>591</v>
      </c>
      <c r="H137">
        <v>1</v>
      </c>
    </row>
    <row r="138" spans="7:8" x14ac:dyDescent="0.25">
      <c r="G138" t="s">
        <v>592</v>
      </c>
      <c r="H138">
        <v>3</v>
      </c>
    </row>
    <row r="139" spans="7:8" x14ac:dyDescent="0.25">
      <c r="G139" t="s">
        <v>593</v>
      </c>
      <c r="H139">
        <v>4</v>
      </c>
    </row>
    <row r="140" spans="7:8" x14ac:dyDescent="0.25">
      <c r="G140" t="s">
        <v>594</v>
      </c>
      <c r="H140">
        <v>1</v>
      </c>
    </row>
    <row r="141" spans="7:8" x14ac:dyDescent="0.25">
      <c r="G141" t="s">
        <v>120</v>
      </c>
      <c r="H141">
        <v>3</v>
      </c>
    </row>
    <row r="142" spans="7:8" x14ac:dyDescent="0.25">
      <c r="G142" t="s">
        <v>125</v>
      </c>
      <c r="H142">
        <v>2</v>
      </c>
    </row>
    <row r="143" spans="7:8" x14ac:dyDescent="0.25">
      <c r="G143" t="s">
        <v>595</v>
      </c>
      <c r="H143">
        <v>1</v>
      </c>
    </row>
    <row r="144" spans="7:8" x14ac:dyDescent="0.25">
      <c r="G144" t="s">
        <v>596</v>
      </c>
      <c r="H144">
        <v>2</v>
      </c>
    </row>
    <row r="145" spans="7:8" x14ac:dyDescent="0.25">
      <c r="G145" t="s">
        <v>597</v>
      </c>
      <c r="H145">
        <v>3</v>
      </c>
    </row>
    <row r="146" spans="7:8" x14ac:dyDescent="0.25">
      <c r="G146" t="s">
        <v>128</v>
      </c>
      <c r="H146">
        <v>3</v>
      </c>
    </row>
    <row r="147" spans="7:8" x14ac:dyDescent="0.25">
      <c r="G147" t="s">
        <v>598</v>
      </c>
      <c r="H147">
        <v>2</v>
      </c>
    </row>
    <row r="148" spans="7:8" x14ac:dyDescent="0.25">
      <c r="G148" t="s">
        <v>599</v>
      </c>
      <c r="H148">
        <v>3</v>
      </c>
    </row>
    <row r="149" spans="7:8" x14ac:dyDescent="0.25">
      <c r="G149" t="s">
        <v>600</v>
      </c>
      <c r="H149">
        <v>2</v>
      </c>
    </row>
    <row r="150" spans="7:8" x14ac:dyDescent="0.25">
      <c r="G150" t="s">
        <v>601</v>
      </c>
      <c r="H150">
        <v>1</v>
      </c>
    </row>
    <row r="151" spans="7:8" x14ac:dyDescent="0.25">
      <c r="G151" t="s">
        <v>602</v>
      </c>
      <c r="H151">
        <v>3</v>
      </c>
    </row>
    <row r="152" spans="7:8" x14ac:dyDescent="0.25">
      <c r="G152" t="s">
        <v>603</v>
      </c>
      <c r="H152">
        <v>2</v>
      </c>
    </row>
    <row r="153" spans="7:8" x14ac:dyDescent="0.25">
      <c r="G153" t="s">
        <v>604</v>
      </c>
      <c r="H153">
        <v>2</v>
      </c>
    </row>
    <row r="154" spans="7:8" x14ac:dyDescent="0.25">
      <c r="G154" t="s">
        <v>605</v>
      </c>
      <c r="H154">
        <v>1</v>
      </c>
    </row>
    <row r="155" spans="7:8" x14ac:dyDescent="0.25">
      <c r="G155" t="s">
        <v>606</v>
      </c>
      <c r="H155">
        <v>1</v>
      </c>
    </row>
    <row r="156" spans="7:8" x14ac:dyDescent="0.25">
      <c r="G156" t="s">
        <v>123</v>
      </c>
      <c r="H156">
        <v>2</v>
      </c>
    </row>
    <row r="157" spans="7:8" x14ac:dyDescent="0.25">
      <c r="G157" t="s">
        <v>131</v>
      </c>
      <c r="H157">
        <v>2</v>
      </c>
    </row>
    <row r="158" spans="7:8" x14ac:dyDescent="0.25">
      <c r="G158" t="s">
        <v>607</v>
      </c>
      <c r="H158">
        <v>2</v>
      </c>
    </row>
    <row r="159" spans="7:8" x14ac:dyDescent="0.25">
      <c r="G159" t="s">
        <v>608</v>
      </c>
      <c r="H159">
        <v>2</v>
      </c>
    </row>
    <row r="160" spans="7:8" x14ac:dyDescent="0.25">
      <c r="G160" t="s">
        <v>609</v>
      </c>
      <c r="H160">
        <v>3</v>
      </c>
    </row>
    <row r="161" spans="7:8" x14ac:dyDescent="0.25">
      <c r="G161" t="s">
        <v>610</v>
      </c>
      <c r="H161">
        <v>3</v>
      </c>
    </row>
    <row r="162" spans="7:8" x14ac:dyDescent="0.25">
      <c r="G162" t="s">
        <v>611</v>
      </c>
      <c r="H162">
        <v>2</v>
      </c>
    </row>
    <row r="163" spans="7:8" x14ac:dyDescent="0.25">
      <c r="G163" t="s">
        <v>612</v>
      </c>
      <c r="H163">
        <v>2</v>
      </c>
    </row>
    <row r="164" spans="7:8" x14ac:dyDescent="0.25">
      <c r="G164" t="s">
        <v>613</v>
      </c>
      <c r="H164">
        <v>3</v>
      </c>
    </row>
    <row r="165" spans="7:8" x14ac:dyDescent="0.25">
      <c r="G165" t="s">
        <v>614</v>
      </c>
      <c r="H165">
        <v>3</v>
      </c>
    </row>
    <row r="166" spans="7:8" x14ac:dyDescent="0.25">
      <c r="G166" t="s">
        <v>615</v>
      </c>
      <c r="H166">
        <v>2</v>
      </c>
    </row>
    <row r="167" spans="7:8" x14ac:dyDescent="0.25">
      <c r="G167" t="s">
        <v>616</v>
      </c>
      <c r="H167">
        <v>2</v>
      </c>
    </row>
    <row r="168" spans="7:8" x14ac:dyDescent="0.25">
      <c r="G168" t="s">
        <v>617</v>
      </c>
      <c r="H168">
        <v>3</v>
      </c>
    </row>
    <row r="169" spans="7:8" x14ac:dyDescent="0.25">
      <c r="G169" t="s">
        <v>618</v>
      </c>
      <c r="H169">
        <v>2</v>
      </c>
    </row>
    <row r="170" spans="7:8" x14ac:dyDescent="0.25">
      <c r="G170" t="s">
        <v>619</v>
      </c>
      <c r="H170">
        <v>2</v>
      </c>
    </row>
    <row r="171" spans="7:8" x14ac:dyDescent="0.25">
      <c r="G171" t="s">
        <v>620</v>
      </c>
      <c r="H171">
        <v>2</v>
      </c>
    </row>
    <row r="172" spans="7:8" x14ac:dyDescent="0.25">
      <c r="G172" t="s">
        <v>134</v>
      </c>
      <c r="H172">
        <v>3</v>
      </c>
    </row>
    <row r="173" spans="7:8" x14ac:dyDescent="0.25">
      <c r="G173" t="s">
        <v>621</v>
      </c>
      <c r="H173">
        <v>1</v>
      </c>
    </row>
    <row r="174" spans="7:8" x14ac:dyDescent="0.25">
      <c r="G174" t="s">
        <v>622</v>
      </c>
      <c r="H174">
        <v>2</v>
      </c>
    </row>
    <row r="175" spans="7:8" x14ac:dyDescent="0.25">
      <c r="G175" t="s">
        <v>623</v>
      </c>
      <c r="H175">
        <v>1</v>
      </c>
    </row>
    <row r="176" spans="7:8" x14ac:dyDescent="0.25">
      <c r="G176" t="s">
        <v>624</v>
      </c>
    </row>
    <row r="177" spans="7:8" x14ac:dyDescent="0.25">
      <c r="G177" t="s">
        <v>625</v>
      </c>
      <c r="H177">
        <v>2</v>
      </c>
    </row>
    <row r="178" spans="7:8" x14ac:dyDescent="0.25">
      <c r="G178" t="s">
        <v>626</v>
      </c>
      <c r="H178">
        <v>2</v>
      </c>
    </row>
    <row r="179" spans="7:8" x14ac:dyDescent="0.25">
      <c r="G179" t="s">
        <v>135</v>
      </c>
      <c r="H179">
        <v>2</v>
      </c>
    </row>
    <row r="180" spans="7:8" x14ac:dyDescent="0.25">
      <c r="G180" t="s">
        <v>627</v>
      </c>
      <c r="H180">
        <v>2</v>
      </c>
    </row>
    <row r="181" spans="7:8" x14ac:dyDescent="0.25">
      <c r="G181" t="s">
        <v>628</v>
      </c>
      <c r="H181">
        <v>4</v>
      </c>
    </row>
    <row r="182" spans="7:8" x14ac:dyDescent="0.25">
      <c r="G182" t="s">
        <v>629</v>
      </c>
      <c r="H182">
        <v>1</v>
      </c>
    </row>
    <row r="183" spans="7:8" x14ac:dyDescent="0.25">
      <c r="G183" t="s">
        <v>630</v>
      </c>
      <c r="H183">
        <v>1</v>
      </c>
    </row>
    <row r="184" spans="7:8" x14ac:dyDescent="0.25">
      <c r="G184" t="s">
        <v>631</v>
      </c>
      <c r="H184">
        <v>3</v>
      </c>
    </row>
    <row r="185" spans="7:8" x14ac:dyDescent="0.25">
      <c r="G185" t="s">
        <v>632</v>
      </c>
      <c r="H185">
        <v>2</v>
      </c>
    </row>
    <row r="186" spans="7:8" x14ac:dyDescent="0.25">
      <c r="G186" t="s">
        <v>136</v>
      </c>
      <c r="H186">
        <v>2</v>
      </c>
    </row>
    <row r="187" spans="7:8" x14ac:dyDescent="0.25">
      <c r="G187" t="s">
        <v>633</v>
      </c>
      <c r="H187">
        <v>2</v>
      </c>
    </row>
    <row r="188" spans="7:8" x14ac:dyDescent="0.25">
      <c r="G188" t="s">
        <v>634</v>
      </c>
      <c r="H188">
        <v>1</v>
      </c>
    </row>
    <row r="189" spans="7:8" x14ac:dyDescent="0.25">
      <c r="G189" t="s">
        <v>635</v>
      </c>
      <c r="H189">
        <v>2</v>
      </c>
    </row>
    <row r="190" spans="7:8" x14ac:dyDescent="0.25">
      <c r="G190" t="s">
        <v>447</v>
      </c>
      <c r="H190">
        <v>3</v>
      </c>
    </row>
    <row r="191" spans="7:8" x14ac:dyDescent="0.25">
      <c r="G191" t="s">
        <v>636</v>
      </c>
      <c r="H191">
        <v>1</v>
      </c>
    </row>
    <row r="192" spans="7:8" x14ac:dyDescent="0.25">
      <c r="G192" t="s">
        <v>637</v>
      </c>
      <c r="H192">
        <v>2</v>
      </c>
    </row>
    <row r="193" spans="7:8" x14ac:dyDescent="0.25">
      <c r="G193" t="s">
        <v>638</v>
      </c>
      <c r="H193">
        <v>2</v>
      </c>
    </row>
    <row r="194" spans="7:8" x14ac:dyDescent="0.25">
      <c r="G194" t="s">
        <v>639</v>
      </c>
      <c r="H194">
        <v>1</v>
      </c>
    </row>
    <row r="195" spans="7:8" x14ac:dyDescent="0.25">
      <c r="G195" t="s">
        <v>640</v>
      </c>
      <c r="H195">
        <v>2</v>
      </c>
    </row>
    <row r="196" spans="7:8" x14ac:dyDescent="0.25">
      <c r="G196" t="s">
        <v>641</v>
      </c>
      <c r="H196">
        <v>2</v>
      </c>
    </row>
    <row r="197" spans="7:8" x14ac:dyDescent="0.25">
      <c r="G197" t="s">
        <v>129</v>
      </c>
      <c r="H197">
        <v>2</v>
      </c>
    </row>
    <row r="198" spans="7:8" x14ac:dyDescent="0.25">
      <c r="G198" t="s">
        <v>642</v>
      </c>
      <c r="H198">
        <v>2</v>
      </c>
    </row>
    <row r="199" spans="7:8" x14ac:dyDescent="0.25">
      <c r="G199" t="s">
        <v>643</v>
      </c>
      <c r="H199">
        <v>4</v>
      </c>
    </row>
    <row r="200" spans="7:8" x14ac:dyDescent="0.25">
      <c r="G200" t="s">
        <v>644</v>
      </c>
      <c r="H200">
        <v>1</v>
      </c>
    </row>
    <row r="201" spans="7:8" x14ac:dyDescent="0.25">
      <c r="G201" t="s">
        <v>645</v>
      </c>
      <c r="H201">
        <v>2</v>
      </c>
    </row>
    <row r="202" spans="7:8" x14ac:dyDescent="0.25">
      <c r="G202" t="s">
        <v>646</v>
      </c>
      <c r="H202">
        <v>2</v>
      </c>
    </row>
    <row r="203" spans="7:8" x14ac:dyDescent="0.25">
      <c r="G203" t="s">
        <v>647</v>
      </c>
      <c r="H203">
        <v>2</v>
      </c>
    </row>
    <row r="204" spans="7:8" x14ac:dyDescent="0.25">
      <c r="G204" t="s">
        <v>648</v>
      </c>
      <c r="H204">
        <v>2</v>
      </c>
    </row>
    <row r="205" spans="7:8" x14ac:dyDescent="0.25">
      <c r="G205" t="s">
        <v>130</v>
      </c>
      <c r="H205">
        <v>2</v>
      </c>
    </row>
    <row r="206" spans="7:8" x14ac:dyDescent="0.25">
      <c r="G206" t="s">
        <v>649</v>
      </c>
      <c r="H206">
        <v>2</v>
      </c>
    </row>
    <row r="207" spans="7:8" x14ac:dyDescent="0.25">
      <c r="G207" t="s">
        <v>650</v>
      </c>
      <c r="H207">
        <v>3</v>
      </c>
    </row>
    <row r="208" spans="7:8" x14ac:dyDescent="0.25">
      <c r="G208" t="s">
        <v>651</v>
      </c>
      <c r="H208">
        <v>4</v>
      </c>
    </row>
    <row r="209" spans="7:8" x14ac:dyDescent="0.25">
      <c r="G209" t="s">
        <v>652</v>
      </c>
      <c r="H209">
        <v>2</v>
      </c>
    </row>
    <row r="210" spans="7:8" x14ac:dyDescent="0.25">
      <c r="G210" t="s">
        <v>653</v>
      </c>
      <c r="H210">
        <v>2</v>
      </c>
    </row>
    <row r="211" spans="7:8" x14ac:dyDescent="0.25">
      <c r="G211" t="s">
        <v>654</v>
      </c>
      <c r="H211">
        <v>2</v>
      </c>
    </row>
    <row r="212" spans="7:8" x14ac:dyDescent="0.25">
      <c r="G212" t="s">
        <v>655</v>
      </c>
      <c r="H212">
        <v>2</v>
      </c>
    </row>
    <row r="213" spans="7:8" x14ac:dyDescent="0.25">
      <c r="G213" t="s">
        <v>656</v>
      </c>
      <c r="H213">
        <v>2</v>
      </c>
    </row>
    <row r="214" spans="7:8" x14ac:dyDescent="0.25">
      <c r="G214" t="s">
        <v>657</v>
      </c>
      <c r="H214">
        <v>1</v>
      </c>
    </row>
    <row r="215" spans="7:8" x14ac:dyDescent="0.25">
      <c r="G215" t="s">
        <v>143</v>
      </c>
      <c r="H215">
        <v>2</v>
      </c>
    </row>
    <row r="216" spans="7:8" x14ac:dyDescent="0.25">
      <c r="G216" t="s">
        <v>658</v>
      </c>
      <c r="H216">
        <v>2</v>
      </c>
    </row>
    <row r="217" spans="7:8" x14ac:dyDescent="0.25">
      <c r="G217" t="s">
        <v>659</v>
      </c>
      <c r="H217">
        <v>4</v>
      </c>
    </row>
    <row r="218" spans="7:8" x14ac:dyDescent="0.25">
      <c r="G218" t="s">
        <v>311</v>
      </c>
      <c r="H218">
        <v>2</v>
      </c>
    </row>
    <row r="219" spans="7:8" x14ac:dyDescent="0.25">
      <c r="G219" t="s">
        <v>660</v>
      </c>
      <c r="H219">
        <v>2</v>
      </c>
    </row>
    <row r="220" spans="7:8" x14ac:dyDescent="0.25">
      <c r="G220" t="s">
        <v>661</v>
      </c>
      <c r="H220">
        <v>1</v>
      </c>
    </row>
    <row r="221" spans="7:8" x14ac:dyDescent="0.25">
      <c r="G221" t="s">
        <v>662</v>
      </c>
      <c r="H221">
        <v>2</v>
      </c>
    </row>
    <row r="222" spans="7:8" x14ac:dyDescent="0.25">
      <c r="G222" t="s">
        <v>663</v>
      </c>
      <c r="H222">
        <v>1</v>
      </c>
    </row>
    <row r="223" spans="7:8" x14ac:dyDescent="0.25">
      <c r="G223" t="s">
        <v>664</v>
      </c>
      <c r="H223">
        <v>2</v>
      </c>
    </row>
    <row r="224" spans="7:8" x14ac:dyDescent="0.25">
      <c r="G224" t="s">
        <v>665</v>
      </c>
      <c r="H224">
        <v>2</v>
      </c>
    </row>
    <row r="225" spans="7:8" x14ac:dyDescent="0.25">
      <c r="G225" t="s">
        <v>666</v>
      </c>
      <c r="H225">
        <v>2</v>
      </c>
    </row>
    <row r="226" spans="7:8" x14ac:dyDescent="0.25">
      <c r="G226" t="s">
        <v>667</v>
      </c>
      <c r="H226">
        <v>1</v>
      </c>
    </row>
    <row r="227" spans="7:8" x14ac:dyDescent="0.25">
      <c r="G227" t="s">
        <v>668</v>
      </c>
      <c r="H227">
        <v>2</v>
      </c>
    </row>
    <row r="228" spans="7:8" x14ac:dyDescent="0.25">
      <c r="G228" t="s">
        <v>669</v>
      </c>
      <c r="H228">
        <v>2</v>
      </c>
    </row>
    <row r="229" spans="7:8" x14ac:dyDescent="0.25">
      <c r="G229" t="s">
        <v>670</v>
      </c>
      <c r="H229">
        <v>2</v>
      </c>
    </row>
    <row r="230" spans="7:8" x14ac:dyDescent="0.25">
      <c r="G230" t="s">
        <v>671</v>
      </c>
      <c r="H230">
        <v>2</v>
      </c>
    </row>
    <row r="231" spans="7:8" x14ac:dyDescent="0.25">
      <c r="G231" t="s">
        <v>672</v>
      </c>
      <c r="H231">
        <v>3</v>
      </c>
    </row>
    <row r="232" spans="7:8" x14ac:dyDescent="0.25">
      <c r="G232" t="s">
        <v>673</v>
      </c>
      <c r="H232">
        <v>3</v>
      </c>
    </row>
    <row r="233" spans="7:8" x14ac:dyDescent="0.25">
      <c r="G233" t="s">
        <v>674</v>
      </c>
      <c r="H233">
        <v>2</v>
      </c>
    </row>
    <row r="234" spans="7:8" x14ac:dyDescent="0.25">
      <c r="G234" t="s">
        <v>675</v>
      </c>
      <c r="H234">
        <v>2</v>
      </c>
    </row>
    <row r="235" spans="7:8" x14ac:dyDescent="0.25">
      <c r="G235" t="s">
        <v>676</v>
      </c>
      <c r="H235">
        <v>3</v>
      </c>
    </row>
    <row r="236" spans="7:8" x14ac:dyDescent="0.25">
      <c r="G236" t="s">
        <v>677</v>
      </c>
      <c r="H236">
        <v>3</v>
      </c>
    </row>
    <row r="237" spans="7:8" x14ac:dyDescent="0.25">
      <c r="G237" t="s">
        <v>678</v>
      </c>
      <c r="H237">
        <v>2</v>
      </c>
    </row>
    <row r="238" spans="7:8" x14ac:dyDescent="0.25">
      <c r="G238" t="s">
        <v>679</v>
      </c>
      <c r="H238">
        <v>3</v>
      </c>
    </row>
    <row r="239" spans="7:8" x14ac:dyDescent="0.25">
      <c r="G239" t="s">
        <v>680</v>
      </c>
      <c r="H239">
        <v>3</v>
      </c>
    </row>
    <row r="240" spans="7:8" x14ac:dyDescent="0.25">
      <c r="G240" t="s">
        <v>681</v>
      </c>
      <c r="H240">
        <v>3</v>
      </c>
    </row>
    <row r="241" spans="7:8" x14ac:dyDescent="0.25">
      <c r="G241" t="s">
        <v>682</v>
      </c>
      <c r="H241">
        <v>2</v>
      </c>
    </row>
    <row r="242" spans="7:8" x14ac:dyDescent="0.25">
      <c r="G242" t="s">
        <v>141</v>
      </c>
      <c r="H242">
        <v>3</v>
      </c>
    </row>
    <row r="243" spans="7:8" x14ac:dyDescent="0.25">
      <c r="G243" t="s">
        <v>683</v>
      </c>
      <c r="H243">
        <v>4</v>
      </c>
    </row>
    <row r="244" spans="7:8" x14ac:dyDescent="0.25">
      <c r="G244" t="s">
        <v>684</v>
      </c>
      <c r="H244">
        <v>3</v>
      </c>
    </row>
    <row r="245" spans="7:8" x14ac:dyDescent="0.25">
      <c r="G245" t="s">
        <v>685</v>
      </c>
      <c r="H245">
        <v>1</v>
      </c>
    </row>
    <row r="246" spans="7:8" x14ac:dyDescent="0.25">
      <c r="G246" t="s">
        <v>686</v>
      </c>
      <c r="H246">
        <v>2</v>
      </c>
    </row>
    <row r="247" spans="7:8" x14ac:dyDescent="0.25">
      <c r="G247" t="s">
        <v>687</v>
      </c>
      <c r="H247">
        <v>1</v>
      </c>
    </row>
    <row r="248" spans="7:8" x14ac:dyDescent="0.25">
      <c r="G248" t="s">
        <v>688</v>
      </c>
      <c r="H248">
        <v>4</v>
      </c>
    </row>
    <row r="249" spans="7:8" x14ac:dyDescent="0.25">
      <c r="G249" t="s">
        <v>689</v>
      </c>
      <c r="H249">
        <v>2</v>
      </c>
    </row>
    <row r="250" spans="7:8" x14ac:dyDescent="0.25">
      <c r="G250" t="s">
        <v>690</v>
      </c>
      <c r="H250">
        <v>3</v>
      </c>
    </row>
    <row r="251" spans="7:8" x14ac:dyDescent="0.25">
      <c r="G251" t="s">
        <v>691</v>
      </c>
      <c r="H251">
        <v>2</v>
      </c>
    </row>
    <row r="252" spans="7:8" x14ac:dyDescent="0.25">
      <c r="G252" t="s">
        <v>692</v>
      </c>
      <c r="H252">
        <v>2</v>
      </c>
    </row>
    <row r="253" spans="7:8" x14ac:dyDescent="0.25">
      <c r="G253" t="s">
        <v>693</v>
      </c>
      <c r="H253">
        <v>2</v>
      </c>
    </row>
    <row r="254" spans="7:8" x14ac:dyDescent="0.25">
      <c r="G254" t="s">
        <v>694</v>
      </c>
      <c r="H254">
        <v>1</v>
      </c>
    </row>
    <row r="255" spans="7:8" x14ac:dyDescent="0.25">
      <c r="G255" t="s">
        <v>695</v>
      </c>
      <c r="H255">
        <v>2</v>
      </c>
    </row>
    <row r="256" spans="7:8" x14ac:dyDescent="0.25">
      <c r="G256" t="s">
        <v>696</v>
      </c>
      <c r="H256">
        <v>4</v>
      </c>
    </row>
    <row r="257" spans="7:8" x14ac:dyDescent="0.25">
      <c r="G257" t="s">
        <v>697</v>
      </c>
      <c r="H257">
        <v>3</v>
      </c>
    </row>
  </sheetData>
  <pageMargins left="0.7" right="0.7" top="0.75" bottom="0.75" header="0.3" footer="0.3"/>
  <tableParts count="3">
    <tablePart r:id="rId1"/>
    <tablePart r:id="rId2"/>
    <tablePart r:id="rId3"/>
  </tablePart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dimension ref="A1:AM73"/>
  <sheetViews>
    <sheetView workbookViewId="0">
      <pane ySplit="3" topLeftCell="A4" activePane="bottomLeft" state="frozen"/>
      <selection activeCell="E1" sqref="E1"/>
      <selection pane="bottomLeft" activeCell="M5" sqref="M5"/>
    </sheetView>
  </sheetViews>
  <sheetFormatPr defaultRowHeight="15" x14ac:dyDescent="0.25"/>
  <cols>
    <col min="2" max="2" width="21" customWidth="1"/>
    <col min="3" max="3" width="9.85546875" customWidth="1"/>
    <col min="4" max="4" width="9.7109375" customWidth="1"/>
    <col min="5" max="5" width="11.140625" customWidth="1"/>
    <col min="6" max="6" width="36.7109375" bestFit="1" customWidth="1"/>
    <col min="7" max="7" width="15.5703125" bestFit="1" customWidth="1"/>
    <col min="8" max="8" width="18.42578125" bestFit="1" customWidth="1"/>
    <col min="10" max="10" width="13.85546875" bestFit="1" customWidth="1"/>
    <col min="11" max="11" width="17" bestFit="1" customWidth="1"/>
    <col min="12" max="12" width="16.42578125" bestFit="1" customWidth="1"/>
    <col min="15" max="15" width="16.42578125" bestFit="1" customWidth="1"/>
    <col min="16" max="16" width="21" bestFit="1" customWidth="1"/>
    <col min="17" max="17" width="12.140625" bestFit="1" customWidth="1"/>
    <col min="18" max="18" width="14.85546875" bestFit="1" customWidth="1"/>
    <col min="19" max="20" width="10.7109375" customWidth="1"/>
    <col min="21" max="21" width="27.140625" customWidth="1"/>
    <col min="22" max="30" width="10.7109375" customWidth="1"/>
    <col min="31" max="31" width="35.7109375" customWidth="1"/>
  </cols>
  <sheetData>
    <row r="1" spans="1:30" ht="15.75" thickBot="1" x14ac:dyDescent="0.3">
      <c r="B1" s="115" t="s">
        <v>104</v>
      </c>
      <c r="C1" s="109">
        <v>3</v>
      </c>
      <c r="D1" t="s">
        <v>1493</v>
      </c>
    </row>
    <row r="2" spans="1:30" ht="31.5" x14ac:dyDescent="0.35">
      <c r="F2" s="88" t="s">
        <v>727</v>
      </c>
      <c r="G2" s="763" t="s">
        <v>39</v>
      </c>
      <c r="H2" s="763" t="s">
        <v>40</v>
      </c>
      <c r="I2" s="763" t="s">
        <v>713</v>
      </c>
      <c r="J2" s="763" t="s">
        <v>820</v>
      </c>
      <c r="K2" s="763" t="s">
        <v>39</v>
      </c>
      <c r="L2" s="763" t="s">
        <v>40</v>
      </c>
      <c r="M2" s="763" t="s">
        <v>713</v>
      </c>
      <c r="N2" s="763" t="s">
        <v>820</v>
      </c>
      <c r="O2" s="763" t="s">
        <v>39</v>
      </c>
      <c r="P2" s="763" t="s">
        <v>40</v>
      </c>
      <c r="Q2" s="763" t="s">
        <v>713</v>
      </c>
      <c r="R2" s="763" t="s">
        <v>820</v>
      </c>
      <c r="S2" s="763" t="s">
        <v>713</v>
      </c>
      <c r="T2" s="763" t="s">
        <v>820</v>
      </c>
      <c r="U2" s="763"/>
    </row>
    <row r="3" spans="1:30" ht="25.5" x14ac:dyDescent="0.25">
      <c r="F3" s="219" t="s">
        <v>35</v>
      </c>
      <c r="G3" s="219" t="s">
        <v>703</v>
      </c>
      <c r="H3" s="219" t="s">
        <v>704</v>
      </c>
      <c r="I3" s="219" t="s">
        <v>721</v>
      </c>
      <c r="J3" s="219" t="s">
        <v>821</v>
      </c>
      <c r="K3" s="219" t="s">
        <v>705</v>
      </c>
      <c r="L3" s="219" t="s">
        <v>706</v>
      </c>
      <c r="M3" s="219" t="s">
        <v>722</v>
      </c>
      <c r="N3" s="219" t="s">
        <v>822</v>
      </c>
      <c r="O3" s="219" t="s">
        <v>707</v>
      </c>
      <c r="P3" s="219" t="s">
        <v>708</v>
      </c>
      <c r="Q3" s="219" t="s">
        <v>711</v>
      </c>
      <c r="R3" s="219" t="s">
        <v>823</v>
      </c>
      <c r="S3" s="219" t="s">
        <v>712</v>
      </c>
      <c r="T3" s="219" t="s">
        <v>824</v>
      </c>
      <c r="U3" s="640" t="s">
        <v>1379</v>
      </c>
    </row>
    <row r="4" spans="1:30" x14ac:dyDescent="0.25">
      <c r="A4" s="64"/>
      <c r="F4" s="658" t="s">
        <v>1060</v>
      </c>
      <c r="G4" s="659">
        <v>0</v>
      </c>
      <c r="H4" s="659">
        <v>0</v>
      </c>
      <c r="I4" s="659">
        <v>1</v>
      </c>
      <c r="J4" s="659">
        <v>0</v>
      </c>
      <c r="K4" s="659">
        <v>0</v>
      </c>
      <c r="L4" s="659">
        <v>0</v>
      </c>
      <c r="M4" s="659">
        <v>1</v>
      </c>
      <c r="N4" s="659">
        <v>0</v>
      </c>
      <c r="O4" s="660">
        <v>0</v>
      </c>
      <c r="P4" s="660">
        <v>0</v>
      </c>
      <c r="Q4" s="660">
        <v>4022</v>
      </c>
      <c r="R4" s="660">
        <v>0</v>
      </c>
      <c r="S4" s="660">
        <v>107</v>
      </c>
      <c r="T4" s="660">
        <v>0</v>
      </c>
      <c r="U4" s="658" t="s">
        <v>1352</v>
      </c>
      <c r="X4" t="s">
        <v>36</v>
      </c>
      <c r="Y4" t="s">
        <v>42</v>
      </c>
      <c r="Z4" t="s">
        <v>1061</v>
      </c>
      <c r="AA4" t="s">
        <v>49</v>
      </c>
      <c r="AB4" t="s">
        <v>50</v>
      </c>
    </row>
    <row r="5" spans="1:30" x14ac:dyDescent="0.25">
      <c r="A5" s="64"/>
      <c r="F5" s="658" t="s">
        <v>1332</v>
      </c>
      <c r="G5" s="659">
        <v>0.84</v>
      </c>
      <c r="H5" s="659">
        <v>0.52</v>
      </c>
      <c r="I5" s="659">
        <v>1</v>
      </c>
      <c r="J5" s="659">
        <v>0</v>
      </c>
      <c r="K5" s="659">
        <v>0.89</v>
      </c>
      <c r="L5" s="659">
        <v>0.72</v>
      </c>
      <c r="M5" s="659">
        <v>1</v>
      </c>
      <c r="N5" s="659">
        <v>0</v>
      </c>
      <c r="O5" s="660">
        <v>2173</v>
      </c>
      <c r="P5" s="660">
        <v>3894</v>
      </c>
      <c r="Q5" s="660">
        <v>2101</v>
      </c>
      <c r="R5" s="660">
        <v>0</v>
      </c>
      <c r="S5" s="660">
        <v>107</v>
      </c>
      <c r="T5" s="660">
        <v>0</v>
      </c>
      <c r="U5" s="658" t="s">
        <v>1353</v>
      </c>
      <c r="V5" t="s">
        <v>39</v>
      </c>
      <c r="W5" t="s">
        <v>40</v>
      </c>
      <c r="X5" t="s">
        <v>36</v>
      </c>
      <c r="Y5" t="s">
        <v>42</v>
      </c>
      <c r="Z5" t="s">
        <v>49</v>
      </c>
      <c r="AA5" t="s">
        <v>50</v>
      </c>
    </row>
    <row r="6" spans="1:30" x14ac:dyDescent="0.25">
      <c r="A6" s="64"/>
      <c r="F6" s="658" t="s">
        <v>1333</v>
      </c>
      <c r="G6" s="659">
        <v>0.55000000000000004</v>
      </c>
      <c r="H6" s="659">
        <v>0.57999999999999996</v>
      </c>
      <c r="I6" s="659">
        <v>1</v>
      </c>
      <c r="J6" s="659">
        <v>0.85</v>
      </c>
      <c r="K6" s="659">
        <v>0.6</v>
      </c>
      <c r="L6" s="659">
        <v>0.63</v>
      </c>
      <c r="M6" s="659">
        <v>1</v>
      </c>
      <c r="N6" s="659">
        <v>0.88</v>
      </c>
      <c r="O6" s="660">
        <v>915</v>
      </c>
      <c r="P6" s="660">
        <v>1716</v>
      </c>
      <c r="Q6" s="660">
        <v>1633</v>
      </c>
      <c r="R6" s="660">
        <v>1330</v>
      </c>
      <c r="S6" s="660">
        <v>251</v>
      </c>
      <c r="T6" s="660">
        <v>86</v>
      </c>
      <c r="U6" s="658" t="s">
        <v>1354</v>
      </c>
      <c r="V6" t="s">
        <v>39</v>
      </c>
      <c r="W6" t="s">
        <v>40</v>
      </c>
      <c r="X6" t="s">
        <v>36</v>
      </c>
      <c r="Y6" t="s">
        <v>42</v>
      </c>
      <c r="Z6" t="s">
        <v>371</v>
      </c>
      <c r="AA6" t="s">
        <v>372</v>
      </c>
      <c r="AB6" t="s">
        <v>43</v>
      </c>
      <c r="AC6" t="s">
        <v>49</v>
      </c>
      <c r="AD6" t="s">
        <v>50</v>
      </c>
    </row>
    <row r="7" spans="1:30" x14ac:dyDescent="0.25">
      <c r="A7" s="64"/>
      <c r="F7" s="658" t="s">
        <v>1334</v>
      </c>
      <c r="G7" s="659">
        <v>0.84</v>
      </c>
      <c r="H7" s="659">
        <v>0.52</v>
      </c>
      <c r="I7" s="659">
        <v>1</v>
      </c>
      <c r="J7" s="659">
        <v>0.86</v>
      </c>
      <c r="K7" s="659">
        <v>0.89</v>
      </c>
      <c r="L7" s="659">
        <v>0.72</v>
      </c>
      <c r="M7" s="659">
        <v>1</v>
      </c>
      <c r="N7" s="659">
        <v>0.9</v>
      </c>
      <c r="O7" s="660">
        <v>1477</v>
      </c>
      <c r="P7" s="660">
        <v>2647</v>
      </c>
      <c r="Q7" s="660">
        <v>1429</v>
      </c>
      <c r="R7" s="660">
        <v>1163</v>
      </c>
      <c r="S7" s="660">
        <v>281</v>
      </c>
      <c r="T7" s="660">
        <v>96</v>
      </c>
      <c r="U7" s="658" t="s">
        <v>1355</v>
      </c>
      <c r="V7" t="s">
        <v>39</v>
      </c>
      <c r="W7" t="s">
        <v>40</v>
      </c>
      <c r="X7" t="s">
        <v>36</v>
      </c>
      <c r="Y7" t="s">
        <v>42</v>
      </c>
      <c r="Z7" t="s">
        <v>371</v>
      </c>
      <c r="AA7" t="s">
        <v>372</v>
      </c>
      <c r="AB7" t="s">
        <v>43</v>
      </c>
      <c r="AC7" t="s">
        <v>49</v>
      </c>
      <c r="AD7" t="s">
        <v>50</v>
      </c>
    </row>
    <row r="8" spans="1:30" x14ac:dyDescent="0.25">
      <c r="A8" s="64"/>
      <c r="F8" s="658" t="s">
        <v>1335</v>
      </c>
      <c r="G8" s="659">
        <v>0</v>
      </c>
      <c r="H8" s="659">
        <v>0</v>
      </c>
      <c r="I8" s="659">
        <v>1</v>
      </c>
      <c r="J8" s="659">
        <v>0.82</v>
      </c>
      <c r="K8" s="659">
        <v>0</v>
      </c>
      <c r="L8" s="659">
        <v>0</v>
      </c>
      <c r="M8" s="659">
        <v>1</v>
      </c>
      <c r="N8" s="659">
        <v>0.9</v>
      </c>
      <c r="O8" s="660">
        <v>0</v>
      </c>
      <c r="P8" s="660">
        <v>0</v>
      </c>
      <c r="Q8" s="660">
        <v>2307</v>
      </c>
      <c r="R8" s="660">
        <v>1878</v>
      </c>
      <c r="S8" s="660">
        <v>107</v>
      </c>
      <c r="T8" s="660">
        <v>120</v>
      </c>
      <c r="U8" s="658" t="s">
        <v>1356</v>
      </c>
      <c r="V8" t="s">
        <v>873</v>
      </c>
      <c r="W8" t="s">
        <v>873</v>
      </c>
      <c r="X8" t="s">
        <v>36</v>
      </c>
      <c r="Y8" t="s">
        <v>42</v>
      </c>
      <c r="Z8" t="s">
        <v>371</v>
      </c>
      <c r="AA8" t="s">
        <v>372</v>
      </c>
      <c r="AB8" t="s">
        <v>43</v>
      </c>
      <c r="AC8" t="s">
        <v>49</v>
      </c>
      <c r="AD8" t="s">
        <v>50</v>
      </c>
    </row>
    <row r="9" spans="1:30" x14ac:dyDescent="0.25">
      <c r="A9" s="64"/>
      <c r="F9" s="658" t="s">
        <v>1336</v>
      </c>
      <c r="G9" s="659">
        <v>0.77</v>
      </c>
      <c r="H9" s="659">
        <v>0.68</v>
      </c>
      <c r="I9" s="659">
        <v>0.61</v>
      </c>
      <c r="J9" s="659">
        <v>0</v>
      </c>
      <c r="K9" s="659">
        <v>0.82</v>
      </c>
      <c r="L9" s="659">
        <v>0.76</v>
      </c>
      <c r="M9" s="659">
        <v>0.65</v>
      </c>
      <c r="N9" s="659">
        <v>0</v>
      </c>
      <c r="O9" s="660">
        <v>1184</v>
      </c>
      <c r="P9" s="660">
        <v>1652</v>
      </c>
      <c r="Q9" s="660">
        <v>829</v>
      </c>
      <c r="R9" s="660">
        <v>0</v>
      </c>
      <c r="S9" s="660">
        <v>107</v>
      </c>
      <c r="T9" s="660">
        <v>0</v>
      </c>
      <c r="U9" s="658" t="s">
        <v>1357</v>
      </c>
      <c r="V9" t="s">
        <v>873</v>
      </c>
      <c r="W9" t="s">
        <v>873</v>
      </c>
      <c r="X9" t="s">
        <v>36</v>
      </c>
      <c r="Y9" t="s">
        <v>42</v>
      </c>
      <c r="Z9" t="s">
        <v>49</v>
      </c>
      <c r="AA9" t="s">
        <v>50</v>
      </c>
    </row>
    <row r="10" spans="1:30" x14ac:dyDescent="0.25">
      <c r="A10" s="64"/>
      <c r="F10" s="658" t="s">
        <v>1337</v>
      </c>
      <c r="G10" s="659">
        <v>0</v>
      </c>
      <c r="H10" s="659">
        <v>0</v>
      </c>
      <c r="I10" s="659">
        <v>1</v>
      </c>
      <c r="J10" s="659">
        <v>0.85</v>
      </c>
      <c r="K10" s="659">
        <v>0</v>
      </c>
      <c r="L10" s="659">
        <v>0</v>
      </c>
      <c r="M10" s="659">
        <v>1</v>
      </c>
      <c r="N10" s="659">
        <v>0.9</v>
      </c>
      <c r="O10" s="660">
        <v>0</v>
      </c>
      <c r="P10" s="660">
        <v>0</v>
      </c>
      <c r="Q10" s="660">
        <v>2249</v>
      </c>
      <c r="R10" s="660">
        <v>1831</v>
      </c>
      <c r="S10" s="660">
        <v>542</v>
      </c>
      <c r="T10" s="660">
        <v>185</v>
      </c>
      <c r="U10" s="658" t="s">
        <v>1358</v>
      </c>
      <c r="V10" t="s">
        <v>873</v>
      </c>
      <c r="W10" t="s">
        <v>873</v>
      </c>
      <c r="X10" t="s">
        <v>36</v>
      </c>
      <c r="Y10" t="s">
        <v>42</v>
      </c>
      <c r="Z10" t="s">
        <v>371</v>
      </c>
      <c r="AA10" t="s">
        <v>372</v>
      </c>
      <c r="AB10" t="s">
        <v>43</v>
      </c>
      <c r="AC10" t="s">
        <v>49</v>
      </c>
      <c r="AD10" t="s">
        <v>50</v>
      </c>
    </row>
    <row r="11" spans="1:30" x14ac:dyDescent="0.25">
      <c r="A11" s="64"/>
      <c r="F11" s="658" t="s">
        <v>1338</v>
      </c>
      <c r="G11" s="659">
        <v>0</v>
      </c>
      <c r="H11" s="659">
        <v>0</v>
      </c>
      <c r="I11" s="659">
        <v>1</v>
      </c>
      <c r="J11" s="659">
        <v>0.86</v>
      </c>
      <c r="K11" s="659">
        <v>0</v>
      </c>
      <c r="L11" s="659">
        <v>0</v>
      </c>
      <c r="M11" s="659">
        <v>1</v>
      </c>
      <c r="N11" s="659">
        <v>0.91</v>
      </c>
      <c r="O11" s="660">
        <v>0</v>
      </c>
      <c r="P11" s="660">
        <v>0</v>
      </c>
      <c r="Q11" s="660">
        <v>2548</v>
      </c>
      <c r="R11" s="660">
        <v>2075</v>
      </c>
      <c r="S11" s="660">
        <v>680</v>
      </c>
      <c r="T11" s="660">
        <v>232</v>
      </c>
      <c r="U11" s="658" t="s">
        <v>1359</v>
      </c>
      <c r="V11" t="s">
        <v>873</v>
      </c>
      <c r="W11" t="s">
        <v>873</v>
      </c>
      <c r="X11" t="s">
        <v>36</v>
      </c>
      <c r="Y11" t="s">
        <v>42</v>
      </c>
      <c r="Z11" t="s">
        <v>371</v>
      </c>
      <c r="AA11" t="s">
        <v>372</v>
      </c>
      <c r="AB11" t="s">
        <v>43</v>
      </c>
      <c r="AC11" t="s">
        <v>49</v>
      </c>
      <c r="AD11" t="s">
        <v>50</v>
      </c>
    </row>
    <row r="12" spans="1:30" x14ac:dyDescent="0.25">
      <c r="A12" s="64"/>
      <c r="F12" s="658" t="s">
        <v>1339</v>
      </c>
      <c r="G12" s="659">
        <v>0</v>
      </c>
      <c r="H12" s="659">
        <v>0</v>
      </c>
      <c r="I12" s="659">
        <v>1</v>
      </c>
      <c r="J12" s="659">
        <v>0.82</v>
      </c>
      <c r="K12" s="659">
        <v>0</v>
      </c>
      <c r="L12" s="659">
        <v>0</v>
      </c>
      <c r="M12" s="659">
        <v>1</v>
      </c>
      <c r="N12" s="659">
        <v>0.9</v>
      </c>
      <c r="O12" s="660">
        <v>0</v>
      </c>
      <c r="P12" s="660">
        <v>0</v>
      </c>
      <c r="Q12" s="660">
        <v>1996</v>
      </c>
      <c r="R12" s="660">
        <v>1625</v>
      </c>
      <c r="S12" s="660">
        <v>405</v>
      </c>
      <c r="T12" s="660">
        <v>138</v>
      </c>
      <c r="U12" s="658" t="s">
        <v>1360</v>
      </c>
      <c r="V12" t="s">
        <v>873</v>
      </c>
      <c r="W12" t="s">
        <v>873</v>
      </c>
      <c r="X12" t="s">
        <v>36</v>
      </c>
      <c r="Y12" t="s">
        <v>42</v>
      </c>
      <c r="Z12" t="s">
        <v>371</v>
      </c>
      <c r="AA12" t="s">
        <v>372</v>
      </c>
      <c r="AB12" t="s">
        <v>43</v>
      </c>
      <c r="AC12" t="s">
        <v>49</v>
      </c>
      <c r="AD12" t="s">
        <v>50</v>
      </c>
    </row>
    <row r="13" spans="1:30" x14ac:dyDescent="0.25">
      <c r="A13" s="64"/>
      <c r="F13" s="658" t="s">
        <v>1340</v>
      </c>
      <c r="G13" s="659">
        <v>0</v>
      </c>
      <c r="H13" s="659">
        <v>0</v>
      </c>
      <c r="I13" s="659">
        <v>1</v>
      </c>
      <c r="J13" s="659">
        <v>0.85</v>
      </c>
      <c r="K13" s="659">
        <v>0</v>
      </c>
      <c r="L13" s="659">
        <v>0</v>
      </c>
      <c r="M13" s="659">
        <v>1</v>
      </c>
      <c r="N13" s="659">
        <v>0.9</v>
      </c>
      <c r="O13" s="660">
        <v>0</v>
      </c>
      <c r="P13" s="660">
        <v>0</v>
      </c>
      <c r="Q13" s="660">
        <v>2311</v>
      </c>
      <c r="R13" s="660">
        <v>1882</v>
      </c>
      <c r="S13" s="660">
        <v>599</v>
      </c>
      <c r="T13" s="660">
        <v>205</v>
      </c>
      <c r="U13" s="658" t="s">
        <v>1361</v>
      </c>
      <c r="V13" t="s">
        <v>873</v>
      </c>
      <c r="W13" t="s">
        <v>873</v>
      </c>
      <c r="X13" t="s">
        <v>36</v>
      </c>
      <c r="Y13" t="s">
        <v>42</v>
      </c>
      <c r="Z13" t="s">
        <v>371</v>
      </c>
      <c r="AA13" t="s">
        <v>372</v>
      </c>
      <c r="AB13" t="s">
        <v>43</v>
      </c>
      <c r="AC13" t="s">
        <v>49</v>
      </c>
      <c r="AD13" t="s">
        <v>50</v>
      </c>
    </row>
    <row r="14" spans="1:30" x14ac:dyDescent="0.25">
      <c r="A14" s="64"/>
      <c r="F14" s="658" t="s">
        <v>1509</v>
      </c>
      <c r="G14" s="659">
        <v>0.85</v>
      </c>
      <c r="H14" s="659">
        <v>0.73</v>
      </c>
      <c r="I14" s="659">
        <v>0.94</v>
      </c>
      <c r="J14" s="659">
        <v>0</v>
      </c>
      <c r="K14" s="659">
        <v>0.89</v>
      </c>
      <c r="L14" s="659">
        <v>0.85</v>
      </c>
      <c r="M14" s="659">
        <v>0.98</v>
      </c>
      <c r="N14" s="659">
        <v>0</v>
      </c>
      <c r="O14" s="660">
        <v>3115</v>
      </c>
      <c r="P14" s="660">
        <v>4015</v>
      </c>
      <c r="Q14" s="660">
        <v>3534</v>
      </c>
      <c r="R14" s="660">
        <v>0</v>
      </c>
      <c r="S14" s="660">
        <v>107</v>
      </c>
      <c r="T14" s="660">
        <v>0</v>
      </c>
      <c r="U14" s="658" t="s">
        <v>1362</v>
      </c>
      <c r="V14" t="s">
        <v>39</v>
      </c>
      <c r="W14" t="s">
        <v>40</v>
      </c>
      <c r="X14" t="s">
        <v>36</v>
      </c>
      <c r="Y14" t="s">
        <v>42</v>
      </c>
      <c r="Z14" t="s">
        <v>49</v>
      </c>
      <c r="AA14" t="s">
        <v>50</v>
      </c>
    </row>
    <row r="15" spans="1:30" x14ac:dyDescent="0.25">
      <c r="A15" s="64"/>
      <c r="F15" s="658" t="s">
        <v>1341</v>
      </c>
      <c r="G15" s="659">
        <v>0.98</v>
      </c>
      <c r="H15" s="659">
        <v>0.69</v>
      </c>
      <c r="I15" s="659">
        <v>0.86</v>
      </c>
      <c r="J15" s="659">
        <v>0</v>
      </c>
      <c r="K15" s="659">
        <v>1.06</v>
      </c>
      <c r="L15" s="659">
        <v>0.73</v>
      </c>
      <c r="M15" s="659">
        <v>0.9</v>
      </c>
      <c r="N15" s="659">
        <v>0</v>
      </c>
      <c r="O15" s="660">
        <v>2009</v>
      </c>
      <c r="P15" s="660">
        <v>2401</v>
      </c>
      <c r="Q15" s="660">
        <v>2925</v>
      </c>
      <c r="R15" s="660">
        <v>0</v>
      </c>
      <c r="S15" s="660">
        <v>223</v>
      </c>
      <c r="T15" s="660">
        <v>0</v>
      </c>
      <c r="U15" s="658" t="s">
        <v>1363</v>
      </c>
      <c r="X15" t="s">
        <v>36</v>
      </c>
      <c r="Y15" t="s">
        <v>42</v>
      </c>
      <c r="Z15" t="s">
        <v>49</v>
      </c>
      <c r="AA15" t="s">
        <v>50</v>
      </c>
    </row>
    <row r="16" spans="1:30" x14ac:dyDescent="0.25">
      <c r="A16" s="64"/>
      <c r="F16" s="658" t="s">
        <v>1342</v>
      </c>
      <c r="G16" s="659">
        <v>0.63</v>
      </c>
      <c r="H16" s="659">
        <v>0.61</v>
      </c>
      <c r="I16" s="659">
        <v>1</v>
      </c>
      <c r="J16" s="659">
        <v>0</v>
      </c>
      <c r="K16" s="659">
        <v>0.66</v>
      </c>
      <c r="L16" s="659">
        <v>0.69</v>
      </c>
      <c r="M16" s="659">
        <v>1</v>
      </c>
      <c r="N16" s="659">
        <v>0</v>
      </c>
      <c r="O16" s="660">
        <v>1378</v>
      </c>
      <c r="P16" s="660">
        <v>2528</v>
      </c>
      <c r="Q16" s="660">
        <v>2429</v>
      </c>
      <c r="R16" s="660">
        <v>0</v>
      </c>
      <c r="S16" s="660">
        <v>107</v>
      </c>
      <c r="T16" s="660">
        <v>0</v>
      </c>
      <c r="U16" s="658" t="s">
        <v>1364</v>
      </c>
      <c r="V16" t="s">
        <v>39</v>
      </c>
      <c r="W16" t="s">
        <v>40</v>
      </c>
      <c r="X16" t="s">
        <v>36</v>
      </c>
      <c r="Y16" t="s">
        <v>42</v>
      </c>
      <c r="Z16" t="s">
        <v>49</v>
      </c>
      <c r="AA16" t="s">
        <v>50</v>
      </c>
    </row>
    <row r="17" spans="1:30" x14ac:dyDescent="0.25">
      <c r="A17" s="64"/>
      <c r="E17" s="108"/>
      <c r="F17" s="658" t="s">
        <v>1343</v>
      </c>
      <c r="G17" s="659">
        <v>0.61</v>
      </c>
      <c r="H17" s="659">
        <v>0.68</v>
      </c>
      <c r="I17" s="659">
        <v>0.72</v>
      </c>
      <c r="J17" s="659">
        <v>0.57999999999999996</v>
      </c>
      <c r="K17" s="659">
        <v>0.98</v>
      </c>
      <c r="L17" s="659">
        <v>1</v>
      </c>
      <c r="M17" s="659">
        <v>0.76</v>
      </c>
      <c r="N17" s="659">
        <v>0.61</v>
      </c>
      <c r="O17" s="660">
        <v>2595</v>
      </c>
      <c r="P17" s="660">
        <v>3180</v>
      </c>
      <c r="Q17" s="660">
        <v>2600</v>
      </c>
      <c r="R17" s="660">
        <v>2117</v>
      </c>
      <c r="S17" s="660">
        <v>307</v>
      </c>
      <c r="T17" s="660">
        <v>105</v>
      </c>
      <c r="U17" s="658" t="s">
        <v>1365</v>
      </c>
      <c r="V17" t="s">
        <v>39</v>
      </c>
      <c r="W17" t="s">
        <v>40</v>
      </c>
      <c r="X17" t="s">
        <v>36</v>
      </c>
      <c r="Y17" t="s">
        <v>42</v>
      </c>
      <c r="Z17" t="s">
        <v>371</v>
      </c>
      <c r="AA17" t="s">
        <v>372</v>
      </c>
      <c r="AB17" t="s">
        <v>43</v>
      </c>
      <c r="AC17" t="s">
        <v>49</v>
      </c>
      <c r="AD17" t="s">
        <v>50</v>
      </c>
    </row>
    <row r="18" spans="1:30" x14ac:dyDescent="0.25">
      <c r="A18" s="64"/>
      <c r="E18" s="108"/>
      <c r="F18" s="658" t="s">
        <v>1344</v>
      </c>
      <c r="G18" s="659">
        <v>0.63</v>
      </c>
      <c r="H18" s="659">
        <v>0.61</v>
      </c>
      <c r="I18" s="659">
        <v>1</v>
      </c>
      <c r="J18" s="659">
        <v>0.84</v>
      </c>
      <c r="K18" s="659">
        <v>0.66</v>
      </c>
      <c r="L18" s="659">
        <v>0.69</v>
      </c>
      <c r="M18" s="659">
        <v>1</v>
      </c>
      <c r="N18" s="659">
        <v>0.87</v>
      </c>
      <c r="O18" s="660">
        <v>1400</v>
      </c>
      <c r="P18" s="660">
        <v>2568</v>
      </c>
      <c r="Q18" s="660">
        <v>2467</v>
      </c>
      <c r="R18" s="660">
        <v>2009</v>
      </c>
      <c r="S18" s="660">
        <v>107</v>
      </c>
      <c r="T18" s="660">
        <v>33</v>
      </c>
      <c r="U18" s="658" t="s">
        <v>1366</v>
      </c>
      <c r="V18" t="s">
        <v>39</v>
      </c>
      <c r="W18" t="s">
        <v>40</v>
      </c>
      <c r="X18" t="s">
        <v>36</v>
      </c>
      <c r="Y18" t="s">
        <v>42</v>
      </c>
      <c r="Z18" t="s">
        <v>371</v>
      </c>
      <c r="AA18" t="s">
        <v>372</v>
      </c>
      <c r="AB18" t="s">
        <v>43</v>
      </c>
      <c r="AC18" t="s">
        <v>49</v>
      </c>
      <c r="AD18" t="s">
        <v>50</v>
      </c>
    </row>
    <row r="19" spans="1:30" x14ac:dyDescent="0.25">
      <c r="A19" s="64"/>
      <c r="E19" s="108"/>
      <c r="F19" s="658" t="s">
        <v>1345</v>
      </c>
      <c r="G19" s="659">
        <v>0</v>
      </c>
      <c r="H19" s="659">
        <v>0</v>
      </c>
      <c r="I19" s="659">
        <v>0.68</v>
      </c>
      <c r="J19" s="659">
        <v>0.54</v>
      </c>
      <c r="K19" s="659">
        <v>0</v>
      </c>
      <c r="L19" s="659">
        <v>0</v>
      </c>
      <c r="M19" s="659">
        <v>0.71</v>
      </c>
      <c r="N19" s="659">
        <v>0.56999999999999995</v>
      </c>
      <c r="O19" s="660">
        <v>0</v>
      </c>
      <c r="P19" s="660">
        <v>0</v>
      </c>
      <c r="Q19" s="660">
        <v>2421</v>
      </c>
      <c r="R19" s="660">
        <v>1971</v>
      </c>
      <c r="S19" s="660">
        <v>147</v>
      </c>
      <c r="T19" s="660">
        <v>50</v>
      </c>
      <c r="U19" s="658" t="s">
        <v>1367</v>
      </c>
      <c r="V19" t="s">
        <v>873</v>
      </c>
      <c r="W19" t="s">
        <v>873</v>
      </c>
      <c r="X19" t="s">
        <v>36</v>
      </c>
      <c r="Y19" t="s">
        <v>42</v>
      </c>
      <c r="Z19" t="s">
        <v>371</v>
      </c>
      <c r="AA19" t="s">
        <v>372</v>
      </c>
      <c r="AB19" t="s">
        <v>43</v>
      </c>
      <c r="AC19" t="s">
        <v>49</v>
      </c>
      <c r="AD19" t="s">
        <v>50</v>
      </c>
    </row>
    <row r="20" spans="1:30" x14ac:dyDescent="0.25">
      <c r="A20" s="64"/>
      <c r="E20" s="108"/>
      <c r="F20" s="658" t="s">
        <v>1346</v>
      </c>
      <c r="G20" s="659">
        <v>0.77</v>
      </c>
      <c r="H20" s="659">
        <v>0.68</v>
      </c>
      <c r="I20" s="659">
        <v>1</v>
      </c>
      <c r="J20" s="659">
        <v>0</v>
      </c>
      <c r="K20" s="659">
        <v>0.82</v>
      </c>
      <c r="L20" s="659">
        <v>0.76</v>
      </c>
      <c r="M20" s="659">
        <v>1</v>
      </c>
      <c r="N20" s="659">
        <v>0</v>
      </c>
      <c r="O20" s="660">
        <v>1184</v>
      </c>
      <c r="P20" s="660">
        <v>1652</v>
      </c>
      <c r="Q20" s="660">
        <v>1554</v>
      </c>
      <c r="R20" s="660">
        <v>0</v>
      </c>
      <c r="S20" s="660">
        <v>230</v>
      </c>
      <c r="T20" s="660">
        <v>0</v>
      </c>
      <c r="U20" s="658" t="s">
        <v>1368</v>
      </c>
      <c r="V20" t="s">
        <v>39</v>
      </c>
      <c r="W20" t="s">
        <v>40</v>
      </c>
      <c r="X20" t="s">
        <v>36</v>
      </c>
      <c r="Y20" t="s">
        <v>42</v>
      </c>
      <c r="Z20" t="s">
        <v>49</v>
      </c>
      <c r="AA20" t="s">
        <v>50</v>
      </c>
    </row>
    <row r="21" spans="1:30" x14ac:dyDescent="0.25">
      <c r="A21" s="64"/>
      <c r="E21" s="108"/>
      <c r="F21" s="658" t="s">
        <v>1347</v>
      </c>
      <c r="G21" s="659">
        <v>0.81</v>
      </c>
      <c r="H21" s="659">
        <v>0.71</v>
      </c>
      <c r="I21" s="659">
        <v>1</v>
      </c>
      <c r="J21" s="659">
        <v>0</v>
      </c>
      <c r="K21" s="659">
        <v>0.86</v>
      </c>
      <c r="L21" s="659">
        <v>0.79</v>
      </c>
      <c r="M21" s="659">
        <v>1</v>
      </c>
      <c r="N21" s="659">
        <v>0</v>
      </c>
      <c r="O21" s="660">
        <v>1642</v>
      </c>
      <c r="P21" s="660">
        <v>2488</v>
      </c>
      <c r="Q21" s="660">
        <v>2059</v>
      </c>
      <c r="R21" s="660">
        <v>0</v>
      </c>
      <c r="S21" s="660">
        <v>276</v>
      </c>
      <c r="T21" s="660">
        <v>0</v>
      </c>
      <c r="U21" s="658" t="s">
        <v>1369</v>
      </c>
      <c r="V21" t="s">
        <v>39</v>
      </c>
      <c r="W21" t="s">
        <v>40</v>
      </c>
      <c r="X21" t="s">
        <v>36</v>
      </c>
      <c r="Y21" t="s">
        <v>42</v>
      </c>
      <c r="Z21" t="s">
        <v>49</v>
      </c>
      <c r="AA21" t="s">
        <v>50</v>
      </c>
    </row>
    <row r="22" spans="1:30" x14ac:dyDescent="0.25">
      <c r="A22" s="64"/>
      <c r="E22" s="108"/>
      <c r="F22" s="658" t="s">
        <v>1348</v>
      </c>
      <c r="G22" s="659">
        <v>0</v>
      </c>
      <c r="H22" s="659">
        <v>0</v>
      </c>
      <c r="I22" s="659">
        <v>0.97</v>
      </c>
      <c r="J22" s="659">
        <v>0.78</v>
      </c>
      <c r="K22" s="659">
        <v>0</v>
      </c>
      <c r="L22" s="659">
        <v>0</v>
      </c>
      <c r="M22" s="659">
        <v>1</v>
      </c>
      <c r="N22" s="659">
        <v>0.82</v>
      </c>
      <c r="O22" s="660">
        <v>0</v>
      </c>
      <c r="P22" s="660">
        <v>0</v>
      </c>
      <c r="Q22" s="660">
        <v>1467</v>
      </c>
      <c r="R22" s="660">
        <v>1194</v>
      </c>
      <c r="S22" s="660">
        <v>247</v>
      </c>
      <c r="T22" s="660">
        <v>84</v>
      </c>
      <c r="U22" s="658" t="s">
        <v>1370</v>
      </c>
      <c r="V22" t="s">
        <v>873</v>
      </c>
      <c r="W22" t="s">
        <v>873</v>
      </c>
      <c r="X22" t="s">
        <v>36</v>
      </c>
      <c r="Y22" t="s">
        <v>42</v>
      </c>
      <c r="Z22" t="s">
        <v>371</v>
      </c>
      <c r="AA22" t="s">
        <v>372</v>
      </c>
      <c r="AB22" t="s">
        <v>43</v>
      </c>
      <c r="AC22" t="s">
        <v>49</v>
      </c>
      <c r="AD22" t="s">
        <v>50</v>
      </c>
    </row>
    <row r="23" spans="1:30" x14ac:dyDescent="0.25">
      <c r="A23" s="64"/>
      <c r="E23" s="108"/>
      <c r="F23" s="658" t="s">
        <v>1349</v>
      </c>
      <c r="G23" s="659">
        <v>0.98</v>
      </c>
      <c r="H23" s="659">
        <v>0.69</v>
      </c>
      <c r="I23" s="659">
        <v>1</v>
      </c>
      <c r="J23" s="659">
        <v>0</v>
      </c>
      <c r="K23" s="659">
        <v>1.06</v>
      </c>
      <c r="L23" s="659">
        <v>0.73</v>
      </c>
      <c r="M23" s="659">
        <v>1</v>
      </c>
      <c r="N23" s="659">
        <v>0</v>
      </c>
      <c r="O23" s="660">
        <v>2009</v>
      </c>
      <c r="P23" s="660">
        <v>2401</v>
      </c>
      <c r="Q23" s="660">
        <v>2866</v>
      </c>
      <c r="R23" s="660">
        <v>0</v>
      </c>
      <c r="S23" s="660">
        <v>175</v>
      </c>
      <c r="T23" s="660">
        <v>0</v>
      </c>
      <c r="U23" s="658" t="s">
        <v>1371</v>
      </c>
      <c r="V23" t="s">
        <v>39</v>
      </c>
      <c r="W23" t="s">
        <v>40</v>
      </c>
      <c r="X23" t="s">
        <v>36</v>
      </c>
      <c r="Y23" t="s">
        <v>42</v>
      </c>
      <c r="Z23" t="s">
        <v>49</v>
      </c>
      <c r="AA23" t="s">
        <v>50</v>
      </c>
    </row>
    <row r="24" spans="1:30" x14ac:dyDescent="0.25">
      <c r="A24" s="64"/>
      <c r="E24" s="108"/>
      <c r="F24" s="658" t="s">
        <v>1350</v>
      </c>
      <c r="G24" s="659">
        <v>0</v>
      </c>
      <c r="H24" s="659">
        <v>0</v>
      </c>
      <c r="I24" s="659">
        <v>0.83</v>
      </c>
      <c r="J24" s="659">
        <v>0</v>
      </c>
      <c r="K24" s="659">
        <v>0</v>
      </c>
      <c r="L24" s="659">
        <v>0</v>
      </c>
      <c r="M24" s="659">
        <v>0.9</v>
      </c>
      <c r="N24" s="659">
        <v>0</v>
      </c>
      <c r="O24" s="660">
        <v>0</v>
      </c>
      <c r="P24" s="660">
        <v>0</v>
      </c>
      <c r="Q24" s="660">
        <v>1523</v>
      </c>
      <c r="R24" s="660">
        <v>0</v>
      </c>
      <c r="S24" s="660">
        <v>107</v>
      </c>
      <c r="T24" s="660">
        <v>0</v>
      </c>
      <c r="U24" s="658" t="s">
        <v>1372</v>
      </c>
      <c r="X24" t="s">
        <v>36</v>
      </c>
      <c r="Y24" t="s">
        <v>42</v>
      </c>
      <c r="Z24" t="s">
        <v>49</v>
      </c>
      <c r="AA24" t="s">
        <v>50</v>
      </c>
    </row>
    <row r="25" spans="1:30" x14ac:dyDescent="0.25">
      <c r="A25" s="64"/>
      <c r="E25" s="108"/>
      <c r="F25" s="658" t="s">
        <v>1351</v>
      </c>
      <c r="G25" s="659">
        <v>0</v>
      </c>
      <c r="H25" s="659">
        <v>0</v>
      </c>
      <c r="I25" s="659">
        <v>1</v>
      </c>
      <c r="J25" s="659">
        <v>0.8</v>
      </c>
      <c r="K25" s="659">
        <v>0</v>
      </c>
      <c r="L25" s="659">
        <v>0</v>
      </c>
      <c r="M25" s="659">
        <v>1</v>
      </c>
      <c r="N25" s="659">
        <v>0.84</v>
      </c>
      <c r="O25" s="660">
        <v>0</v>
      </c>
      <c r="P25" s="660">
        <v>0</v>
      </c>
      <c r="Q25" s="660">
        <v>1598</v>
      </c>
      <c r="R25" s="660">
        <v>1301</v>
      </c>
      <c r="S25" s="660">
        <v>147</v>
      </c>
      <c r="T25" s="660">
        <v>50</v>
      </c>
      <c r="U25" s="658" t="s">
        <v>1373</v>
      </c>
      <c r="V25" t="s">
        <v>873</v>
      </c>
      <c r="W25" t="s">
        <v>873</v>
      </c>
      <c r="X25" t="s">
        <v>36</v>
      </c>
      <c r="Y25" t="s">
        <v>42</v>
      </c>
      <c r="Z25" t="s">
        <v>371</v>
      </c>
      <c r="AA25" t="s">
        <v>372</v>
      </c>
      <c r="AB25" t="s">
        <v>43</v>
      </c>
      <c r="AC25" t="s">
        <v>49</v>
      </c>
      <c r="AD25" t="s">
        <v>50</v>
      </c>
    </row>
    <row r="26" spans="1:30" x14ac:dyDescent="0.25">
      <c r="A26" s="64"/>
      <c r="E26" s="108"/>
      <c r="F26" s="658" t="s">
        <v>699</v>
      </c>
      <c r="G26" s="659">
        <v>0.55000000000000004</v>
      </c>
      <c r="H26" s="659">
        <v>0.57999999999999996</v>
      </c>
      <c r="I26" s="659">
        <v>1</v>
      </c>
      <c r="J26" s="659">
        <v>0</v>
      </c>
      <c r="K26" s="659">
        <v>0.6</v>
      </c>
      <c r="L26" s="659">
        <v>0.63</v>
      </c>
      <c r="M26" s="659">
        <v>1</v>
      </c>
      <c r="N26" s="659">
        <v>0</v>
      </c>
      <c r="O26" s="660">
        <v>1231</v>
      </c>
      <c r="P26" s="660">
        <v>2307</v>
      </c>
      <c r="Q26" s="660">
        <v>2196</v>
      </c>
      <c r="R26" s="660">
        <v>0</v>
      </c>
      <c r="S26" s="660">
        <v>107</v>
      </c>
      <c r="T26" s="660">
        <v>0</v>
      </c>
      <c r="U26" s="658" t="s">
        <v>1374</v>
      </c>
      <c r="V26" t="s">
        <v>39</v>
      </c>
      <c r="W26" t="s">
        <v>40</v>
      </c>
      <c r="X26" t="s">
        <v>36</v>
      </c>
      <c r="Y26" t="s">
        <v>42</v>
      </c>
      <c r="Z26" t="s">
        <v>49</v>
      </c>
      <c r="AA26" t="s">
        <v>50</v>
      </c>
    </row>
    <row r="27" spans="1:30" x14ac:dyDescent="0.25">
      <c r="A27" s="64"/>
      <c r="F27" s="658" t="s">
        <v>37</v>
      </c>
      <c r="G27" s="659">
        <v>0.77</v>
      </c>
      <c r="H27" s="659">
        <v>0.68</v>
      </c>
      <c r="I27" s="659">
        <v>0.68</v>
      </c>
      <c r="J27" s="659">
        <v>0</v>
      </c>
      <c r="K27" s="659">
        <v>0.82</v>
      </c>
      <c r="L27" s="659">
        <v>0.76</v>
      </c>
      <c r="M27" s="659">
        <v>0.71</v>
      </c>
      <c r="N27" s="659">
        <v>0</v>
      </c>
      <c r="O27" s="660">
        <v>713</v>
      </c>
      <c r="P27" s="660">
        <v>994</v>
      </c>
      <c r="Q27" s="660">
        <v>602</v>
      </c>
      <c r="R27" s="660">
        <v>0</v>
      </c>
      <c r="S27" s="660">
        <v>107</v>
      </c>
      <c r="T27" s="660">
        <v>0</v>
      </c>
      <c r="U27" s="658" t="s">
        <v>1375</v>
      </c>
      <c r="V27" t="s">
        <v>39</v>
      </c>
      <c r="W27" t="s">
        <v>40</v>
      </c>
      <c r="X27" t="s">
        <v>36</v>
      </c>
      <c r="Y27" t="s">
        <v>42</v>
      </c>
      <c r="Z27" t="s">
        <v>49</v>
      </c>
      <c r="AA27" t="s">
        <v>50</v>
      </c>
    </row>
    <row r="28" spans="1:30" x14ac:dyDescent="0.25">
      <c r="A28" s="64"/>
      <c r="F28" s="658" t="s">
        <v>700</v>
      </c>
      <c r="G28" s="659">
        <v>0</v>
      </c>
      <c r="H28" s="659">
        <v>0</v>
      </c>
      <c r="I28" s="659">
        <v>1</v>
      </c>
      <c r="J28" s="659">
        <v>0</v>
      </c>
      <c r="K28" s="659">
        <v>0</v>
      </c>
      <c r="L28" s="659">
        <v>0</v>
      </c>
      <c r="M28" s="659">
        <v>1</v>
      </c>
      <c r="N28" s="659">
        <v>0</v>
      </c>
      <c r="O28" s="660">
        <v>0</v>
      </c>
      <c r="P28" s="660">
        <v>0</v>
      </c>
      <c r="Q28" s="660">
        <v>1742</v>
      </c>
      <c r="R28" s="660">
        <v>0</v>
      </c>
      <c r="S28" s="660">
        <v>107</v>
      </c>
      <c r="T28" s="660">
        <v>0</v>
      </c>
      <c r="U28" s="658" t="s">
        <v>1376</v>
      </c>
      <c r="X28" t="s">
        <v>36</v>
      </c>
      <c r="Y28" t="s">
        <v>42</v>
      </c>
      <c r="Z28" t="s">
        <v>49</v>
      </c>
      <c r="AA28" t="s">
        <v>50</v>
      </c>
    </row>
    <row r="29" spans="1:30" x14ac:dyDescent="0.25">
      <c r="A29" s="64"/>
      <c r="F29" s="658" t="s">
        <v>701</v>
      </c>
      <c r="G29" s="659">
        <v>0</v>
      </c>
      <c r="H29" s="659">
        <v>0</v>
      </c>
      <c r="I29" s="659">
        <v>0.92</v>
      </c>
      <c r="J29" s="659">
        <v>0</v>
      </c>
      <c r="K29" s="659">
        <v>0</v>
      </c>
      <c r="L29" s="659">
        <v>0</v>
      </c>
      <c r="M29" s="659">
        <v>1</v>
      </c>
      <c r="N29" s="659">
        <v>0</v>
      </c>
      <c r="O29" s="660">
        <v>0</v>
      </c>
      <c r="P29" s="660">
        <v>0</v>
      </c>
      <c r="Q29" s="660">
        <v>718</v>
      </c>
      <c r="R29" s="660">
        <v>0</v>
      </c>
      <c r="S29" s="660">
        <v>107</v>
      </c>
      <c r="T29" s="660">
        <v>0</v>
      </c>
      <c r="U29" s="658" t="s">
        <v>1377</v>
      </c>
      <c r="X29" t="s">
        <v>36</v>
      </c>
      <c r="Y29" t="s">
        <v>42</v>
      </c>
      <c r="Z29" t="s">
        <v>49</v>
      </c>
      <c r="AA29" t="s">
        <v>50</v>
      </c>
    </row>
    <row r="30" spans="1:30" x14ac:dyDescent="0.25">
      <c r="A30" s="64"/>
      <c r="E30" s="108"/>
      <c r="F30" s="658" t="s">
        <v>324</v>
      </c>
      <c r="G30" s="659">
        <v>0.55000000000000004</v>
      </c>
      <c r="H30" s="659">
        <v>0.57999999999999996</v>
      </c>
      <c r="I30" s="659">
        <v>0.61</v>
      </c>
      <c r="J30" s="659">
        <v>0.54</v>
      </c>
      <c r="K30" s="659">
        <v>0.6</v>
      </c>
      <c r="L30" s="659">
        <v>0.63</v>
      </c>
      <c r="M30" s="659">
        <v>0.65</v>
      </c>
      <c r="N30" s="659">
        <v>0.56999999999999995</v>
      </c>
      <c r="O30" s="660">
        <v>713</v>
      </c>
      <c r="P30" s="660">
        <v>994</v>
      </c>
      <c r="Q30" s="660">
        <v>602</v>
      </c>
      <c r="R30" s="660">
        <v>1163</v>
      </c>
      <c r="S30" s="660">
        <v>107</v>
      </c>
      <c r="T30" s="660">
        <v>33</v>
      </c>
      <c r="U30" s="658" t="s">
        <v>1378</v>
      </c>
      <c r="V30" t="s">
        <v>39</v>
      </c>
      <c r="W30" t="s">
        <v>40</v>
      </c>
      <c r="X30" t="s">
        <v>36</v>
      </c>
      <c r="Y30" t="s">
        <v>42</v>
      </c>
      <c r="Z30" t="s">
        <v>49</v>
      </c>
      <c r="AA30" t="s">
        <v>50</v>
      </c>
    </row>
    <row r="31" spans="1:30" x14ac:dyDescent="0.25">
      <c r="A31" s="64"/>
      <c r="E31" s="108"/>
      <c r="F31" s="658" t="s">
        <v>1519</v>
      </c>
      <c r="G31" s="659">
        <v>0.98</v>
      </c>
      <c r="H31" s="659">
        <v>0.69</v>
      </c>
      <c r="I31" s="659">
        <v>0</v>
      </c>
      <c r="J31" s="659">
        <v>0</v>
      </c>
      <c r="K31" s="659">
        <v>1.06</v>
      </c>
      <c r="L31" s="659">
        <v>0.73</v>
      </c>
      <c r="M31" s="659">
        <v>0</v>
      </c>
      <c r="N31" s="659">
        <v>0</v>
      </c>
      <c r="O31" s="660">
        <v>2009</v>
      </c>
      <c r="P31" s="660">
        <v>2401</v>
      </c>
      <c r="Q31" s="660">
        <v>0</v>
      </c>
      <c r="R31" s="660">
        <v>0</v>
      </c>
      <c r="S31" s="660">
        <v>107</v>
      </c>
      <c r="T31" s="660">
        <v>0</v>
      </c>
      <c r="U31" s="658" t="s">
        <v>1520</v>
      </c>
      <c r="V31" s="762" t="s">
        <v>39</v>
      </c>
      <c r="W31" s="762" t="s">
        <v>40</v>
      </c>
      <c r="X31" s="108"/>
      <c r="Y31" s="108"/>
      <c r="Z31" s="108"/>
      <c r="AA31" s="108"/>
      <c r="AB31" s="108"/>
      <c r="AC31" s="108"/>
    </row>
    <row r="32" spans="1:30" x14ac:dyDescent="0.25">
      <c r="A32" s="64"/>
      <c r="E32" s="108"/>
      <c r="F32" s="108"/>
      <c r="G32" s="108"/>
      <c r="H32" s="108"/>
      <c r="I32" s="108"/>
      <c r="J32" s="108"/>
      <c r="K32" s="108"/>
      <c r="L32" s="108"/>
      <c r="M32" s="108"/>
      <c r="N32" s="108"/>
      <c r="O32" s="108"/>
      <c r="P32" s="108"/>
      <c r="Q32" s="108"/>
      <c r="R32" s="108"/>
      <c r="S32" s="108"/>
      <c r="T32" s="108"/>
      <c r="V32" s="108"/>
      <c r="W32" s="108"/>
      <c r="X32" s="108"/>
      <c r="Y32" s="108"/>
      <c r="Z32" s="108"/>
      <c r="AA32" s="108"/>
      <c r="AB32" s="108"/>
      <c r="AC32" s="108"/>
    </row>
    <row r="33" spans="1:29" x14ac:dyDescent="0.25">
      <c r="A33" s="64"/>
      <c r="E33" s="108"/>
      <c r="F33" s="108"/>
      <c r="G33" s="108"/>
      <c r="H33" s="108"/>
      <c r="I33" s="108"/>
      <c r="J33" s="108"/>
      <c r="K33" s="108"/>
      <c r="L33" s="108"/>
      <c r="M33" s="108"/>
      <c r="N33" s="108"/>
      <c r="O33" s="108"/>
      <c r="P33" s="108"/>
      <c r="Q33" s="108"/>
      <c r="R33" s="108"/>
      <c r="S33" s="108"/>
      <c r="T33" s="108"/>
      <c r="V33" s="108"/>
      <c r="W33" s="108"/>
      <c r="X33" s="108"/>
      <c r="Y33" s="108"/>
      <c r="Z33" s="108"/>
      <c r="AA33" s="108"/>
      <c r="AB33" s="108"/>
      <c r="AC33" s="108"/>
    </row>
    <row r="34" spans="1:29" x14ac:dyDescent="0.25">
      <c r="A34" s="64"/>
      <c r="E34" s="108"/>
      <c r="F34" s="108"/>
      <c r="G34" s="108"/>
      <c r="H34" s="108"/>
      <c r="I34" s="108"/>
      <c r="J34" s="108"/>
      <c r="K34" s="108"/>
      <c r="L34" s="108"/>
      <c r="M34" s="108"/>
      <c r="N34" s="108"/>
      <c r="O34" s="108"/>
      <c r="P34" s="108"/>
      <c r="Q34" s="108"/>
      <c r="R34" s="108"/>
      <c r="S34" s="108"/>
      <c r="T34" s="108"/>
      <c r="V34" s="108"/>
      <c r="W34" s="108"/>
      <c r="X34" s="108"/>
      <c r="Y34" s="108"/>
      <c r="Z34" s="108"/>
      <c r="AA34" s="108"/>
      <c r="AB34" s="108"/>
      <c r="AC34" s="108"/>
    </row>
    <row r="35" spans="1:29" x14ac:dyDescent="0.25">
      <c r="A35" s="64"/>
      <c r="E35" s="108"/>
      <c r="F35" s="108"/>
      <c r="G35" s="108"/>
      <c r="H35" s="108"/>
      <c r="I35" s="108"/>
      <c r="J35" s="108"/>
      <c r="K35" s="108"/>
      <c r="L35" s="108"/>
      <c r="M35" s="108"/>
      <c r="N35" s="108"/>
      <c r="O35" s="108"/>
      <c r="P35" s="108"/>
      <c r="Q35" s="108"/>
      <c r="R35" s="108"/>
      <c r="S35" s="108"/>
      <c r="T35" s="108"/>
      <c r="V35" s="108"/>
      <c r="W35" s="108"/>
      <c r="X35" s="108"/>
      <c r="Y35" s="108"/>
      <c r="Z35" s="108"/>
      <c r="AA35" s="108"/>
      <c r="AB35" s="108"/>
      <c r="AC35" s="108"/>
    </row>
    <row r="36" spans="1:29" x14ac:dyDescent="0.25">
      <c r="A36" s="64"/>
      <c r="E36" s="108"/>
      <c r="F36" s="108"/>
      <c r="G36" s="108"/>
      <c r="H36" s="108"/>
      <c r="I36" s="108"/>
      <c r="J36" s="108"/>
      <c r="K36" s="108"/>
      <c r="L36" s="108"/>
      <c r="M36" s="108"/>
      <c r="N36" s="108"/>
      <c r="O36" s="108"/>
      <c r="P36" s="108"/>
      <c r="Q36" s="108"/>
      <c r="R36" s="108"/>
      <c r="S36" s="108"/>
      <c r="T36" s="108"/>
      <c r="V36" s="108"/>
      <c r="W36" s="108"/>
      <c r="X36" s="108"/>
      <c r="Y36" s="108"/>
      <c r="Z36" s="108"/>
      <c r="AA36" s="108"/>
      <c r="AB36" s="108"/>
      <c r="AC36" s="108"/>
    </row>
    <row r="37" spans="1:29" x14ac:dyDescent="0.25">
      <c r="A37" s="64"/>
      <c r="E37" s="108"/>
      <c r="F37" s="108"/>
      <c r="G37" s="108"/>
      <c r="H37" s="108"/>
      <c r="I37" s="108"/>
      <c r="J37" s="108"/>
      <c r="K37" s="108"/>
      <c r="L37" s="108"/>
      <c r="M37" s="108"/>
      <c r="N37" s="108"/>
      <c r="O37" s="108"/>
      <c r="P37" s="108"/>
      <c r="Q37" s="108"/>
      <c r="R37" s="108"/>
      <c r="S37" s="108"/>
      <c r="T37" s="108"/>
      <c r="V37" s="108"/>
      <c r="W37" s="108"/>
      <c r="X37" s="108"/>
      <c r="Y37" s="108"/>
      <c r="Z37" s="108"/>
      <c r="AA37" s="108"/>
      <c r="AB37" s="108"/>
      <c r="AC37" s="108"/>
    </row>
    <row r="38" spans="1:29" x14ac:dyDescent="0.25">
      <c r="A38" s="64"/>
      <c r="E38" s="108"/>
      <c r="F38" s="108"/>
      <c r="G38" s="108"/>
      <c r="H38" s="108"/>
      <c r="I38" s="108"/>
      <c r="J38" s="108"/>
      <c r="K38" s="108"/>
      <c r="L38" s="108"/>
      <c r="M38" s="108"/>
      <c r="N38" s="108"/>
      <c r="O38" s="108"/>
      <c r="P38" s="108"/>
      <c r="Q38" s="108"/>
      <c r="R38" s="108"/>
      <c r="S38" s="108"/>
      <c r="T38" s="108"/>
      <c r="V38" s="108"/>
      <c r="W38" s="108"/>
      <c r="X38" s="108"/>
      <c r="Y38" s="108"/>
      <c r="Z38" s="108"/>
      <c r="AA38" s="108"/>
      <c r="AB38" s="108"/>
      <c r="AC38" s="108"/>
    </row>
    <row r="39" spans="1:29" x14ac:dyDescent="0.25">
      <c r="A39" s="64"/>
      <c r="E39" s="108"/>
      <c r="F39" s="108"/>
      <c r="G39" s="108"/>
      <c r="H39" s="108"/>
      <c r="I39" s="108"/>
      <c r="J39" s="108"/>
      <c r="K39" s="108"/>
      <c r="L39" s="108"/>
      <c r="M39" s="108"/>
      <c r="N39" s="108"/>
      <c r="O39" s="108"/>
      <c r="P39" s="108"/>
      <c r="Q39" s="108"/>
      <c r="R39" s="108"/>
      <c r="S39" s="108"/>
      <c r="T39" s="108"/>
      <c r="V39" s="108"/>
      <c r="W39" s="108"/>
      <c r="X39" s="108"/>
      <c r="Y39" s="108"/>
      <c r="Z39" s="108"/>
      <c r="AA39" s="108"/>
      <c r="AB39" s="108"/>
      <c r="AC39" s="108"/>
    </row>
    <row r="40" spans="1:29" x14ac:dyDescent="0.25">
      <c r="A40" s="64"/>
      <c r="F40" s="108"/>
      <c r="G40" s="108"/>
      <c r="H40" s="108"/>
      <c r="I40" s="108"/>
      <c r="J40" s="108"/>
      <c r="K40" s="108"/>
      <c r="L40" s="108"/>
      <c r="M40" s="108"/>
      <c r="N40" s="108"/>
      <c r="O40" s="108"/>
      <c r="P40" s="108"/>
      <c r="Q40" s="108"/>
      <c r="R40" s="108"/>
      <c r="S40" s="108"/>
      <c r="T40" s="108"/>
      <c r="V40" s="108"/>
      <c r="W40" s="108"/>
      <c r="X40" s="108"/>
      <c r="Y40" s="108"/>
      <c r="Z40" s="108"/>
      <c r="AA40" s="108"/>
      <c r="AB40" s="108"/>
    </row>
    <row r="41" spans="1:29" x14ac:dyDescent="0.25">
      <c r="A41" s="64"/>
    </row>
    <row r="42" spans="1:29" x14ac:dyDescent="0.25">
      <c r="A42" s="64"/>
    </row>
    <row r="43" spans="1:29" x14ac:dyDescent="0.25">
      <c r="A43" s="64"/>
      <c r="E43" s="108"/>
      <c r="AC43" s="108"/>
    </row>
    <row r="44" spans="1:29" x14ac:dyDescent="0.25">
      <c r="E44" s="108"/>
      <c r="F44" s="108"/>
      <c r="G44" s="108"/>
      <c r="H44" s="108"/>
      <c r="I44" s="108"/>
      <c r="J44" s="108"/>
      <c r="K44" s="108"/>
      <c r="L44" s="108"/>
      <c r="M44" s="108"/>
      <c r="N44" s="108"/>
      <c r="O44" s="108"/>
      <c r="P44" s="108"/>
      <c r="Q44" s="108"/>
      <c r="R44" s="108"/>
      <c r="S44" s="108"/>
      <c r="T44" s="108"/>
      <c r="V44" s="108"/>
      <c r="W44" s="108"/>
      <c r="X44" s="108"/>
      <c r="Y44" s="108"/>
      <c r="Z44" s="108"/>
      <c r="AA44" s="108"/>
      <c r="AB44" s="108"/>
      <c r="AC44" s="108"/>
    </row>
    <row r="45" spans="1:29" x14ac:dyDescent="0.25">
      <c r="E45" s="108"/>
      <c r="F45" s="108"/>
      <c r="G45" s="108"/>
      <c r="H45" s="108"/>
      <c r="I45" s="108"/>
      <c r="J45" s="108"/>
      <c r="K45" s="108"/>
      <c r="L45" s="108"/>
      <c r="M45" s="108"/>
      <c r="N45" s="108"/>
      <c r="O45" s="108"/>
      <c r="P45" s="108"/>
      <c r="Q45" s="108"/>
      <c r="R45" s="108"/>
      <c r="S45" s="108"/>
      <c r="T45" s="108"/>
      <c r="V45" s="108"/>
      <c r="W45" s="108"/>
      <c r="X45" s="108"/>
      <c r="Y45" s="108"/>
      <c r="Z45" s="108"/>
      <c r="AA45" s="108"/>
      <c r="AB45" s="108"/>
      <c r="AC45" s="108"/>
    </row>
    <row r="46" spans="1:29" x14ac:dyDescent="0.25">
      <c r="E46" s="108"/>
      <c r="F46" s="108"/>
      <c r="G46" s="108"/>
      <c r="H46" s="108"/>
      <c r="I46" s="108"/>
      <c r="J46" s="108"/>
      <c r="K46" s="108"/>
      <c r="L46" s="108"/>
      <c r="M46" s="108"/>
      <c r="N46" s="108"/>
      <c r="O46" s="108"/>
      <c r="P46" s="108"/>
      <c r="Q46" s="108"/>
      <c r="R46" s="108"/>
      <c r="S46" s="108"/>
      <c r="T46" s="108"/>
      <c r="V46" s="108"/>
      <c r="W46" s="108"/>
      <c r="X46" s="108"/>
      <c r="Y46" s="108"/>
      <c r="Z46" s="108"/>
      <c r="AA46" s="108"/>
      <c r="AB46" s="108"/>
      <c r="AC46" s="108"/>
    </row>
    <row r="47" spans="1:29" x14ac:dyDescent="0.25">
      <c r="E47" s="108"/>
      <c r="F47" s="108"/>
      <c r="G47" s="108"/>
      <c r="H47" s="108"/>
      <c r="I47" s="108"/>
      <c r="J47" s="108"/>
      <c r="K47" s="108"/>
      <c r="L47" s="108"/>
      <c r="M47" s="108"/>
      <c r="N47" s="108"/>
      <c r="O47" s="108"/>
      <c r="P47" s="108"/>
      <c r="Q47" s="108"/>
      <c r="R47" s="108"/>
      <c r="S47" s="108"/>
      <c r="T47" s="108"/>
      <c r="V47" s="108"/>
      <c r="W47" s="108"/>
      <c r="X47" s="108"/>
      <c r="Y47" s="108"/>
      <c r="Z47" s="108"/>
      <c r="AA47" s="108"/>
      <c r="AB47" s="108"/>
      <c r="AC47" s="108"/>
    </row>
    <row r="48" spans="1:29" x14ac:dyDescent="0.25">
      <c r="E48" s="108"/>
      <c r="F48" s="108"/>
      <c r="G48" s="108"/>
      <c r="H48" s="108"/>
      <c r="I48" s="108"/>
      <c r="J48" s="108"/>
      <c r="K48" s="108"/>
      <c r="L48" s="108"/>
      <c r="M48" s="108"/>
      <c r="N48" s="108"/>
      <c r="O48" s="108"/>
      <c r="P48" s="108"/>
      <c r="Q48" s="108"/>
      <c r="R48" s="108"/>
      <c r="S48" s="108"/>
      <c r="T48" s="108"/>
      <c r="V48" s="108"/>
      <c r="W48" s="108"/>
      <c r="X48" s="108"/>
      <c r="Y48" s="108"/>
      <c r="Z48" s="108"/>
      <c r="AA48" s="108"/>
      <c r="AB48" s="108"/>
      <c r="AC48" s="108"/>
    </row>
    <row r="49" spans="2:29" x14ac:dyDescent="0.25">
      <c r="E49" s="108"/>
      <c r="F49" s="108"/>
      <c r="G49" s="108"/>
      <c r="H49" s="108"/>
      <c r="I49" s="108"/>
      <c r="J49" s="108"/>
      <c r="K49" s="108"/>
      <c r="L49" s="108"/>
      <c r="M49" s="108"/>
      <c r="N49" s="108"/>
      <c r="O49" s="108"/>
      <c r="P49" s="108"/>
      <c r="Q49" s="108"/>
      <c r="R49" s="108"/>
      <c r="S49" s="108"/>
      <c r="T49" s="108"/>
      <c r="V49" s="108"/>
      <c r="W49" s="108"/>
      <c r="X49" s="108"/>
      <c r="Y49" s="108"/>
      <c r="Z49" s="108"/>
      <c r="AA49" s="108"/>
      <c r="AB49" s="108"/>
      <c r="AC49" s="108"/>
    </row>
    <row r="50" spans="2:29" x14ac:dyDescent="0.25">
      <c r="E50" s="108"/>
      <c r="F50" s="108"/>
      <c r="G50" s="108"/>
      <c r="H50" s="108"/>
      <c r="I50" s="108"/>
      <c r="J50" s="108"/>
      <c r="K50" s="108"/>
      <c r="L50" s="108"/>
      <c r="M50" s="108"/>
      <c r="N50" s="108"/>
      <c r="O50" s="108"/>
      <c r="P50" s="108"/>
      <c r="Q50" s="108"/>
      <c r="R50" s="108"/>
      <c r="S50" s="108"/>
      <c r="T50" s="108"/>
      <c r="V50" s="108"/>
      <c r="W50" s="108"/>
      <c r="X50" s="108"/>
      <c r="Y50" s="108"/>
      <c r="Z50" s="108"/>
      <c r="AA50" s="108"/>
      <c r="AB50" s="108"/>
      <c r="AC50" s="108"/>
    </row>
    <row r="51" spans="2:29" x14ac:dyDescent="0.25">
      <c r="E51" s="108"/>
      <c r="F51" s="108"/>
      <c r="G51" s="108"/>
      <c r="H51" s="108"/>
      <c r="I51" s="108"/>
      <c r="J51" s="108"/>
      <c r="K51" s="108"/>
      <c r="L51" s="108"/>
      <c r="M51" s="108"/>
      <c r="N51" s="108"/>
      <c r="O51" s="108"/>
      <c r="P51" s="108"/>
      <c r="Q51" s="108"/>
      <c r="R51" s="108"/>
      <c r="S51" s="108"/>
      <c r="T51" s="108"/>
      <c r="V51" s="108"/>
      <c r="W51" s="108"/>
      <c r="X51" s="108"/>
      <c r="Y51" s="108"/>
      <c r="Z51" s="108"/>
      <c r="AA51" s="108"/>
      <c r="AB51" s="108"/>
      <c r="AC51" s="108"/>
    </row>
    <row r="52" spans="2:29" x14ac:dyDescent="0.25">
      <c r="E52" s="108"/>
      <c r="F52" s="108"/>
      <c r="G52" s="108"/>
      <c r="H52" s="108"/>
      <c r="I52" s="108"/>
      <c r="J52" s="108"/>
      <c r="K52" s="108"/>
      <c r="L52" s="108"/>
      <c r="M52" s="108"/>
      <c r="N52" s="108"/>
      <c r="O52" s="108"/>
      <c r="P52" s="108"/>
      <c r="Q52" s="108"/>
      <c r="R52" s="108"/>
      <c r="S52" s="108"/>
      <c r="T52" s="108"/>
      <c r="V52" s="108"/>
      <c r="W52" s="108"/>
      <c r="X52" s="108"/>
      <c r="Y52" s="108"/>
      <c r="Z52" s="108"/>
      <c r="AA52" s="108"/>
      <c r="AB52" s="108"/>
      <c r="AC52" s="108"/>
    </row>
    <row r="53" spans="2:29" x14ac:dyDescent="0.25">
      <c r="F53" s="108"/>
      <c r="G53" s="108"/>
      <c r="H53" s="108"/>
      <c r="I53" s="108"/>
      <c r="J53" s="108"/>
      <c r="K53" s="108"/>
      <c r="L53" s="108"/>
      <c r="M53" s="108"/>
      <c r="N53" s="108"/>
      <c r="O53" s="108"/>
      <c r="P53" s="108"/>
      <c r="Q53" s="108"/>
      <c r="R53" s="108"/>
      <c r="S53" s="108"/>
      <c r="T53" s="108"/>
      <c r="V53" s="108"/>
      <c r="W53" s="108"/>
      <c r="X53" s="108"/>
      <c r="Y53" s="108"/>
      <c r="Z53" s="108"/>
      <c r="AA53" s="108"/>
      <c r="AB53" s="108"/>
    </row>
    <row r="56" spans="2:29" x14ac:dyDescent="0.25">
      <c r="E56" s="108"/>
      <c r="AC56" s="108"/>
    </row>
    <row r="57" spans="2:29" x14ac:dyDescent="0.25">
      <c r="E57" s="108"/>
      <c r="F57" s="108"/>
      <c r="G57" s="108"/>
      <c r="H57" s="108"/>
      <c r="I57" s="108"/>
      <c r="J57" s="108"/>
      <c r="K57" s="108"/>
      <c r="L57" s="108"/>
      <c r="M57" s="108"/>
      <c r="N57" s="108"/>
      <c r="O57" s="108"/>
      <c r="P57" s="108"/>
      <c r="Q57" s="108"/>
      <c r="R57" s="108"/>
      <c r="S57" s="108"/>
      <c r="T57" s="108"/>
      <c r="V57" s="108"/>
      <c r="W57" s="108"/>
      <c r="X57" s="108"/>
      <c r="Y57" s="108"/>
      <c r="Z57" s="108"/>
      <c r="AA57" s="108"/>
      <c r="AB57" s="108"/>
      <c r="AC57" s="108"/>
    </row>
    <row r="58" spans="2:29" x14ac:dyDescent="0.25">
      <c r="E58" s="108"/>
      <c r="F58" s="108"/>
      <c r="G58" s="108"/>
      <c r="H58" s="108"/>
      <c r="I58" s="108"/>
      <c r="J58" s="108"/>
      <c r="K58" s="108"/>
      <c r="L58" s="108"/>
      <c r="M58" s="108"/>
      <c r="N58" s="108"/>
      <c r="O58" s="108"/>
      <c r="P58" s="108"/>
      <c r="Q58" s="108"/>
      <c r="R58" s="108"/>
      <c r="S58" s="108"/>
      <c r="T58" s="108"/>
      <c r="V58" s="108"/>
      <c r="W58" s="108"/>
      <c r="X58" s="108"/>
      <c r="Y58" s="108"/>
      <c r="Z58" s="108"/>
      <c r="AA58" s="108"/>
      <c r="AB58" s="108"/>
      <c r="AC58" s="108"/>
    </row>
    <row r="59" spans="2:29" x14ac:dyDescent="0.25">
      <c r="E59" s="108"/>
      <c r="F59" s="108"/>
      <c r="G59" s="108"/>
      <c r="H59" s="108"/>
      <c r="I59" s="108"/>
      <c r="J59" s="108"/>
      <c r="K59" s="108"/>
      <c r="L59" s="108"/>
      <c r="M59" s="108"/>
      <c r="N59" s="108"/>
      <c r="O59" s="108"/>
      <c r="P59" s="108"/>
      <c r="Q59" s="108"/>
      <c r="R59" s="108"/>
      <c r="S59" s="108"/>
      <c r="T59" s="108"/>
      <c r="V59" s="108"/>
      <c r="W59" s="108"/>
      <c r="X59" s="108"/>
      <c r="Y59" s="108"/>
      <c r="Z59" s="108"/>
      <c r="AA59" s="108"/>
      <c r="AB59" s="108"/>
      <c r="AC59" s="108"/>
    </row>
    <row r="60" spans="2:29" x14ac:dyDescent="0.25">
      <c r="E60" s="108"/>
      <c r="F60" s="108"/>
      <c r="G60" s="108"/>
      <c r="H60" s="108"/>
      <c r="I60" s="108"/>
      <c r="J60" s="108"/>
      <c r="K60" s="108"/>
      <c r="L60" s="108"/>
      <c r="M60" s="108"/>
      <c r="N60" s="108"/>
      <c r="O60" s="108"/>
      <c r="P60" s="108"/>
      <c r="Q60" s="108"/>
      <c r="R60" s="108"/>
      <c r="S60" s="108"/>
      <c r="T60" s="108"/>
      <c r="V60" s="108"/>
      <c r="W60" s="108"/>
      <c r="X60" s="108"/>
      <c r="Y60" s="108"/>
      <c r="Z60" s="108"/>
      <c r="AA60" s="108"/>
      <c r="AB60" s="108"/>
      <c r="AC60" s="108"/>
    </row>
    <row r="61" spans="2:29" x14ac:dyDescent="0.25">
      <c r="E61" s="108"/>
      <c r="F61" s="108"/>
      <c r="G61" s="108"/>
      <c r="H61" s="108"/>
      <c r="I61" s="108"/>
      <c r="J61" s="108"/>
      <c r="K61" s="108"/>
      <c r="L61" s="108"/>
      <c r="M61" s="108"/>
      <c r="N61" s="108"/>
      <c r="O61" s="108"/>
      <c r="P61" s="108"/>
      <c r="Q61" s="108"/>
      <c r="R61" s="108"/>
      <c r="S61" s="108"/>
      <c r="T61" s="108"/>
      <c r="V61" s="108"/>
      <c r="W61" s="108"/>
      <c r="X61" s="108"/>
      <c r="Y61" s="108"/>
      <c r="Z61" s="108"/>
      <c r="AA61" s="108"/>
      <c r="AB61" s="108"/>
      <c r="AC61" s="108"/>
    </row>
    <row r="62" spans="2:29" x14ac:dyDescent="0.25">
      <c r="E62" s="108"/>
      <c r="F62" s="108"/>
      <c r="G62" s="108"/>
      <c r="H62" s="108"/>
      <c r="I62" s="108"/>
      <c r="J62" s="108"/>
      <c r="K62" s="108"/>
      <c r="L62" s="108"/>
      <c r="M62" s="108"/>
      <c r="N62" s="108"/>
      <c r="O62" s="108"/>
      <c r="P62" s="108"/>
      <c r="Q62" s="108"/>
      <c r="R62" s="108"/>
      <c r="S62" s="108"/>
      <c r="T62" s="108"/>
      <c r="V62" s="108"/>
      <c r="W62" s="108"/>
      <c r="X62" s="108"/>
      <c r="Y62" s="108"/>
      <c r="Z62" s="108"/>
      <c r="AA62" s="108"/>
      <c r="AB62" s="108"/>
      <c r="AC62" s="108"/>
    </row>
    <row r="63" spans="2:29" x14ac:dyDescent="0.25">
      <c r="E63" s="108"/>
      <c r="F63" s="108"/>
      <c r="G63" s="108"/>
      <c r="H63" s="108"/>
      <c r="I63" s="108"/>
      <c r="J63" s="108"/>
      <c r="K63" s="108"/>
      <c r="L63" s="108"/>
      <c r="M63" s="108"/>
      <c r="N63" s="108"/>
      <c r="O63" s="108"/>
      <c r="P63" s="108"/>
      <c r="Q63" s="108"/>
      <c r="R63" s="108"/>
      <c r="S63" s="108"/>
      <c r="T63" s="108"/>
      <c r="V63" s="108"/>
      <c r="W63" s="108"/>
      <c r="X63" s="108"/>
      <c r="Y63" s="108"/>
      <c r="Z63" s="108"/>
      <c r="AA63" s="108"/>
      <c r="AB63" s="108"/>
      <c r="AC63" s="108"/>
    </row>
    <row r="64" spans="2:29" x14ac:dyDescent="0.25">
      <c r="B64" s="108"/>
      <c r="C64" s="108"/>
      <c r="D64" s="108"/>
      <c r="E64" s="108"/>
      <c r="F64" s="108"/>
      <c r="G64" s="108"/>
      <c r="H64" s="108"/>
      <c r="I64" s="108"/>
      <c r="J64" s="108"/>
      <c r="K64" s="108"/>
      <c r="L64" s="108"/>
      <c r="M64" s="108"/>
      <c r="N64" s="108"/>
      <c r="O64" s="108"/>
      <c r="P64" s="108"/>
      <c r="Q64" s="108"/>
      <c r="R64" s="108"/>
      <c r="S64" s="108"/>
      <c r="T64" s="108"/>
      <c r="V64" s="108"/>
      <c r="W64" s="108"/>
      <c r="X64" s="108"/>
      <c r="Y64" s="108"/>
      <c r="Z64" s="108"/>
      <c r="AA64" s="108"/>
      <c r="AB64" s="108"/>
      <c r="AC64" s="108"/>
    </row>
    <row r="65" spans="2:39" x14ac:dyDescent="0.25">
      <c r="B65" s="64"/>
      <c r="E65" s="108"/>
      <c r="F65" s="108"/>
      <c r="G65" s="108"/>
      <c r="H65" s="108"/>
      <c r="J65" s="108"/>
      <c r="K65" s="108"/>
      <c r="L65" s="108"/>
      <c r="M65" s="108"/>
      <c r="N65" s="108"/>
      <c r="O65" s="108"/>
      <c r="P65" s="108"/>
      <c r="Q65" s="108"/>
      <c r="R65" s="108"/>
      <c r="S65" s="108"/>
      <c r="T65" s="108"/>
      <c r="U65" s="108"/>
      <c r="V65" s="108"/>
      <c r="W65" s="108"/>
      <c r="X65" s="108"/>
      <c r="Y65" s="108"/>
      <c r="Z65" s="108"/>
      <c r="AA65" s="108"/>
      <c r="AB65" s="108"/>
      <c r="AC65" s="108"/>
      <c r="AD65" s="108"/>
      <c r="AF65" s="108"/>
      <c r="AG65" s="108"/>
      <c r="AH65" s="108"/>
      <c r="AI65" s="108"/>
      <c r="AJ65" s="108"/>
      <c r="AK65" s="108"/>
      <c r="AL65" s="108"/>
      <c r="AM65" s="108"/>
    </row>
    <row r="66" spans="2:39" x14ac:dyDescent="0.25">
      <c r="B66" s="64"/>
      <c r="E66" s="108"/>
      <c r="F66" s="108"/>
      <c r="G66" s="108"/>
      <c r="H66" s="108"/>
      <c r="J66" s="108"/>
      <c r="K66" s="108"/>
      <c r="L66" s="108"/>
      <c r="M66" s="108"/>
      <c r="P66" s="108"/>
      <c r="Q66" s="108"/>
      <c r="R66" s="108"/>
      <c r="S66" s="108"/>
      <c r="T66" s="108"/>
      <c r="U66" s="108"/>
      <c r="V66" s="108"/>
      <c r="W66" s="108"/>
      <c r="X66" s="108"/>
      <c r="Y66" s="108"/>
      <c r="Z66" s="108"/>
      <c r="AA66" s="108"/>
      <c r="AB66" s="108"/>
      <c r="AC66" s="108"/>
      <c r="AD66" s="108"/>
      <c r="AF66" s="108"/>
      <c r="AG66" s="108"/>
      <c r="AH66" s="108"/>
      <c r="AI66" s="108"/>
      <c r="AJ66" s="108"/>
      <c r="AK66" s="108"/>
      <c r="AL66" s="108"/>
    </row>
    <row r="67" spans="2:39" x14ac:dyDescent="0.25">
      <c r="B67" s="64"/>
      <c r="E67" s="108"/>
      <c r="F67" s="108"/>
      <c r="G67" s="108"/>
      <c r="H67" s="108"/>
      <c r="J67" s="108"/>
      <c r="K67" s="108"/>
      <c r="L67" s="108"/>
      <c r="M67" s="108"/>
    </row>
    <row r="68" spans="2:39" x14ac:dyDescent="0.25">
      <c r="B68" s="64"/>
      <c r="E68" s="108"/>
      <c r="F68" s="108"/>
      <c r="G68" s="108"/>
      <c r="H68" s="108"/>
      <c r="J68" s="108"/>
      <c r="K68" s="108"/>
      <c r="L68" s="108"/>
      <c r="M68" s="108"/>
    </row>
    <row r="69" spans="2:39" x14ac:dyDescent="0.25">
      <c r="E69" s="108"/>
      <c r="F69" s="108"/>
      <c r="G69" s="108"/>
      <c r="H69" s="108"/>
      <c r="J69" s="108"/>
      <c r="K69" s="108"/>
      <c r="L69" s="108"/>
      <c r="M69" s="108"/>
    </row>
    <row r="70" spans="2:39" x14ac:dyDescent="0.25">
      <c r="E70" s="108"/>
      <c r="F70" s="108"/>
      <c r="G70" s="108"/>
      <c r="H70" s="108"/>
      <c r="J70" s="108"/>
      <c r="K70" s="108"/>
      <c r="L70" s="108"/>
      <c r="M70" s="108"/>
    </row>
    <row r="71" spans="2:39" x14ac:dyDescent="0.25">
      <c r="E71" s="108"/>
      <c r="F71" s="108"/>
      <c r="G71" s="108"/>
      <c r="H71" s="108"/>
      <c r="J71" s="108"/>
      <c r="K71" s="108"/>
      <c r="L71" s="108"/>
      <c r="M71" s="108"/>
    </row>
    <row r="72" spans="2:39" x14ac:dyDescent="0.25">
      <c r="E72" s="108"/>
      <c r="F72" s="108"/>
      <c r="G72" s="108"/>
      <c r="H72" s="108"/>
      <c r="J72" s="108"/>
      <c r="K72" s="108"/>
      <c r="L72" s="108"/>
      <c r="M72" s="108"/>
    </row>
    <row r="73" spans="2:39" x14ac:dyDescent="0.25">
      <c r="E73" s="108"/>
      <c r="F73" s="108"/>
      <c r="G73" s="108"/>
      <c r="H73" s="108"/>
      <c r="J73" s="108"/>
      <c r="K73" s="108"/>
      <c r="L73" s="108"/>
      <c r="M73" s="108"/>
    </row>
  </sheetData>
  <conditionalFormatting sqref="M4:M31">
    <cfRule type="cellIs" dxfId="20" priority="2" operator="greaterThan">
      <formula>1</formula>
    </cfRule>
  </conditionalFormatting>
  <conditionalFormatting sqref="I4:I31">
    <cfRule type="cellIs" dxfId="19" priority="1" operator="greaterThan">
      <formula>1</formula>
    </cfRule>
  </conditionalFormatting>
  <pageMargins left="0.7" right="0.7" top="0.75" bottom="0.75" header="0.3" footer="0.3"/>
  <pageSetup orientation="portrait" r:id="rId1"/>
  <legacyDrawing r:id="rId2"/>
  <tableParts count="1">
    <tablePart r:id="rId3"/>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BH53"/>
  <sheetViews>
    <sheetView workbookViewId="0">
      <selection activeCell="A20" sqref="A20:XFD21"/>
    </sheetView>
  </sheetViews>
  <sheetFormatPr defaultColWidth="9.140625" defaultRowHeight="15" x14ac:dyDescent="0.25"/>
  <cols>
    <col min="1" max="2" width="22.7109375" style="1" bestFit="1" customWidth="1"/>
    <col min="3" max="3" width="25.28515625" style="1" bestFit="1" customWidth="1"/>
    <col min="4" max="4" width="22.7109375" style="1" bestFit="1" customWidth="1"/>
    <col min="5" max="5" width="26.5703125" style="1" customWidth="1"/>
    <col min="6" max="6" width="26.140625" style="1" customWidth="1"/>
    <col min="7" max="7" width="12.28515625" style="1" bestFit="1" customWidth="1"/>
    <col min="8" max="8" width="6.28515625" style="1" bestFit="1" customWidth="1"/>
    <col min="9" max="9" width="12.28515625" style="1" bestFit="1" customWidth="1"/>
    <col min="10" max="10" width="17" style="1" bestFit="1" customWidth="1"/>
    <col min="11" max="11" width="17" style="1" customWidth="1"/>
    <col min="12" max="12" width="7.7109375" style="1" bestFit="1" customWidth="1"/>
    <col min="13" max="13" width="9.7109375" style="1" bestFit="1" customWidth="1"/>
    <col min="14" max="14" width="8.5703125" style="1" bestFit="1" customWidth="1"/>
    <col min="15" max="15" width="10" style="1" bestFit="1" customWidth="1"/>
    <col min="16" max="16384" width="9.140625" style="1"/>
  </cols>
  <sheetData>
    <row r="1" spans="1:60" x14ac:dyDescent="0.25">
      <c r="P1" s="1" t="s">
        <v>776</v>
      </c>
      <c r="AE1" s="1" t="s">
        <v>191</v>
      </c>
      <c r="AT1" s="1" t="s">
        <v>190</v>
      </c>
    </row>
    <row r="2" spans="1:60" x14ac:dyDescent="0.25">
      <c r="A2" s="81">
        <f>'Project Info'!D7</f>
        <v>0</v>
      </c>
      <c r="B2" s="81">
        <f>'Project Info'!I7</f>
        <v>0</v>
      </c>
      <c r="C2" s="81" t="str">
        <f>A2&amp;B2</f>
        <v>00</v>
      </c>
      <c r="D2" s="81" t="e">
        <f>INDEX('Utility Admin'!D4:D22,MATCH($C$2,'Utility Admin'!$C$4:$C$22,0))</f>
        <v>#N/A</v>
      </c>
      <c r="E2" s="81">
        <f>'Project Info'!I8</f>
        <v>0</v>
      </c>
      <c r="F2" s="81" t="str">
        <f>C2&amp;E2</f>
        <v>000</v>
      </c>
      <c r="G2" s="81" t="e">
        <f>INDEX('Utility Admin'!G4:G22,MATCH($F$2,'Utility Admin'!$F$4:$F$22,0))</f>
        <v>#N/A</v>
      </c>
      <c r="H2" s="81" t="e">
        <f>INDEX('Utility Admin'!H4:H22,MATCH($F$2,'Utility Admin'!$F$4:$F$22,0))</f>
        <v>#N/A</v>
      </c>
      <c r="I2" s="81" t="e">
        <f>INDEX('Utility Admin'!I4:I22,MATCH($F$2,'Utility Admin'!$F$4:$F$22,0))</f>
        <v>#N/A</v>
      </c>
      <c r="J2" s="81" t="e">
        <f>INDEX('Utility Admin'!J4:J22,MATCH($F$2,'Utility Admin'!$F$4:$F$22,0))</f>
        <v>#N/A</v>
      </c>
      <c r="K2" s="351" t="e">
        <f>INDEX('Utility Admin'!K4:K22,MATCH($F$2,'Utility Admin'!$F$4:$F$22,0))</f>
        <v>#N/A</v>
      </c>
      <c r="L2" s="356" t="e">
        <f>INDEX('Utility Admin'!L4:L22,MATCH($F$2,'Utility Admin'!$F$4:$F$22,0))</f>
        <v>#N/A</v>
      </c>
      <c r="M2" s="337" t="e">
        <f>INDEX('Utility Admin'!M4:M22,MATCH($F$2,'Utility Admin'!$F$4:$F$22,0))</f>
        <v>#N/A</v>
      </c>
      <c r="N2" s="338" t="e">
        <f>INDEX('Utility Admin'!N4:N22,MATCH($F$2,'Utility Admin'!$F$4:$F$22,0))</f>
        <v>#N/A</v>
      </c>
      <c r="O2" s="347" t="e">
        <f>INDEX('Utility Admin'!O4:O22,MATCH($F$2,'Utility Admin'!$F$4:$F$22,0))</f>
        <v>#N/A</v>
      </c>
      <c r="P2" s="352" t="e">
        <f>INDEX('Utility Admin'!P4:P22,MATCH($F$2,'Utility Admin'!$F$4:$F$22,0))</f>
        <v>#N/A</v>
      </c>
      <c r="Q2" s="339" t="e">
        <f>INDEX('Utility Admin'!Q4:Q22,MATCH($F$2,'Utility Admin'!$F$4:$F$22,0))</f>
        <v>#N/A</v>
      </c>
      <c r="R2" s="339" t="e">
        <f>INDEX('Utility Admin'!R4:R22,MATCH($F$2,'Utility Admin'!$F$4:$F$22,0))</f>
        <v>#N/A</v>
      </c>
      <c r="S2" s="339" t="e">
        <f>INDEX('Utility Admin'!S4:S22,MATCH($F$2,'Utility Admin'!$F$4:$F$22,0))</f>
        <v>#N/A</v>
      </c>
      <c r="T2" s="339" t="e">
        <f>INDEX('Utility Admin'!T4:T22,MATCH($F$2,'Utility Admin'!$F$4:$F$22,0))</f>
        <v>#N/A</v>
      </c>
      <c r="U2" s="339" t="e">
        <f>INDEX('Utility Admin'!U4:U22,MATCH($F$2,'Utility Admin'!$F$4:$F$22,0))</f>
        <v>#N/A</v>
      </c>
      <c r="V2" s="339" t="e">
        <f>INDEX('Utility Admin'!V4:V22,MATCH($F$2,'Utility Admin'!$F$4:$F$22,0))</f>
        <v>#N/A</v>
      </c>
      <c r="W2" s="339" t="e">
        <f>INDEX('Utility Admin'!W4:W22,MATCH($F$2,'Utility Admin'!$F$4:$F$22,0))</f>
        <v>#N/A</v>
      </c>
      <c r="X2" s="339" t="e">
        <f>INDEX('Utility Admin'!X4:X22,MATCH($F$2,'Utility Admin'!$F$4:$F$22,0))</f>
        <v>#N/A</v>
      </c>
      <c r="Y2" s="339" t="e">
        <f>INDEX('Utility Admin'!Y4:Y22,MATCH($F$2,'Utility Admin'!$F$4:$F$22,0))</f>
        <v>#N/A</v>
      </c>
      <c r="Z2" s="339" t="e">
        <f>INDEX('Utility Admin'!Z4:Z22,MATCH($F$2,'Utility Admin'!$F$4:$F$22,0))</f>
        <v>#N/A</v>
      </c>
      <c r="AA2" s="339" t="e">
        <f>INDEX('Utility Admin'!AA4:AA22,MATCH($F$2,'Utility Admin'!$F$4:$F$22,0))</f>
        <v>#N/A</v>
      </c>
      <c r="AB2" s="339" t="e">
        <f>INDEX('Utility Admin'!AB4:AB22,MATCH($F$2,'Utility Admin'!$F$4:$F$22,0))</f>
        <v>#N/A</v>
      </c>
      <c r="AC2" s="339" t="e">
        <f>INDEX('Utility Admin'!AC4:AC22,MATCH($F$2,'Utility Admin'!$F$4:$F$22,0))</f>
        <v>#N/A</v>
      </c>
      <c r="AD2" s="350" t="e">
        <f>INDEX('Utility Admin'!AD4:AD22,MATCH($F$2,'Utility Admin'!$F$4:$F$22,0))</f>
        <v>#N/A</v>
      </c>
      <c r="AE2" s="352" t="e">
        <f>INDEX('Utility Admin'!AE4:AE22,MATCH($F$2,'Utility Admin'!$F$4:$F$22,0))</f>
        <v>#N/A</v>
      </c>
      <c r="AF2" s="339" t="e">
        <f>INDEX('Utility Admin'!AF4:AF22,MATCH($F$2,'Utility Admin'!$F$4:$F$22,0))</f>
        <v>#N/A</v>
      </c>
      <c r="AG2" s="339" t="e">
        <f>INDEX('Utility Admin'!AG4:AG22,MATCH($F$2,'Utility Admin'!$F$4:$F$22,0))</f>
        <v>#N/A</v>
      </c>
      <c r="AH2" s="339" t="e">
        <f>INDEX('Utility Admin'!AH4:AH22,MATCH($F$2,'Utility Admin'!$F$4:$F$22,0))</f>
        <v>#N/A</v>
      </c>
      <c r="AI2" s="339" t="e">
        <f>INDEX('Utility Admin'!AI4:AI22,MATCH($F$2,'Utility Admin'!$F$4:$F$22,0))</f>
        <v>#N/A</v>
      </c>
      <c r="AJ2" s="339" t="e">
        <f>INDEX('Utility Admin'!AJ4:AJ22,MATCH($F$2,'Utility Admin'!$F$4:$F$22,0))</f>
        <v>#N/A</v>
      </c>
      <c r="AK2" s="339" t="e">
        <f>INDEX('Utility Admin'!AK4:AK22,MATCH($F$2,'Utility Admin'!$F$4:$F$22,0))</f>
        <v>#N/A</v>
      </c>
      <c r="AL2" s="339" t="e">
        <f>INDEX('Utility Admin'!AL4:AL22,MATCH($F$2,'Utility Admin'!$F$4:$F$22,0))</f>
        <v>#N/A</v>
      </c>
      <c r="AM2" s="339" t="e">
        <f>INDEX('Utility Admin'!AM4:AM22,MATCH($F$2,'Utility Admin'!$F$4:$F$22,0))</f>
        <v>#N/A</v>
      </c>
      <c r="AN2" s="339" t="e">
        <f>INDEX('Utility Admin'!AN4:AN22,MATCH($F$2,'Utility Admin'!$F$4:$F$22,0))</f>
        <v>#N/A</v>
      </c>
      <c r="AO2" s="339" t="e">
        <f>INDEX('Utility Admin'!AO4:AO22,MATCH($F$2,'Utility Admin'!$F$4:$F$22,0))</f>
        <v>#N/A</v>
      </c>
      <c r="AP2" s="350" t="e">
        <f>INDEX('Utility Admin'!AP4:AP22,MATCH($F$2,'Utility Admin'!$F$4:$F$22,0))</f>
        <v>#N/A</v>
      </c>
      <c r="AQ2" s="339" t="e">
        <f>INDEX('Utility Admin'!AQ4:AQ22,MATCH($F$2,'Utility Admin'!$F$4:$F$22,0))</f>
        <v>#N/A</v>
      </c>
      <c r="AR2" s="339" t="e">
        <f>INDEX('Utility Admin'!AR4:AR22,MATCH($F$2,'Utility Admin'!$F$4:$F$22,0))</f>
        <v>#N/A</v>
      </c>
      <c r="AS2" s="350" t="e">
        <f>INDEX('Utility Admin'!AS4:AS22,MATCH($F$2,'Utility Admin'!$F$4:$F$22,0))</f>
        <v>#N/A</v>
      </c>
      <c r="AT2" s="352" t="e">
        <f>INDEX('Utility Admin'!AT4:AT22,MATCH($F$2,'Utility Admin'!$F$4:$F$22,0))</f>
        <v>#N/A</v>
      </c>
      <c r="AU2" s="339" t="e">
        <f>INDEX('Utility Admin'!AU4:AU22,MATCH($F$2,'Utility Admin'!$F$4:$F$22,0))</f>
        <v>#N/A</v>
      </c>
      <c r="AV2" s="339" t="e">
        <f>INDEX('Utility Admin'!AV4:AV22,MATCH($F$2,'Utility Admin'!$F$4:$F$22,0))</f>
        <v>#N/A</v>
      </c>
      <c r="AW2" s="339" t="e">
        <f>INDEX('Utility Admin'!AW4:AW22,MATCH($F$2,'Utility Admin'!$F$4:$F$22,0))</f>
        <v>#N/A</v>
      </c>
      <c r="AX2" s="339" t="e">
        <f>INDEX('Utility Admin'!AX4:AX22,MATCH($F$2,'Utility Admin'!$F$4:$F$22,0))</f>
        <v>#N/A</v>
      </c>
      <c r="AY2" s="339" t="e">
        <f>INDEX('Utility Admin'!AY4:AY22,MATCH($F$2,'Utility Admin'!$F$4:$F$22,0))</f>
        <v>#N/A</v>
      </c>
      <c r="AZ2" s="339" t="e">
        <f>INDEX('Utility Admin'!AZ4:AZ22,MATCH($F$2,'Utility Admin'!$F$4:$F$22,0))</f>
        <v>#N/A</v>
      </c>
      <c r="BA2" s="339" t="e">
        <f>INDEX('Utility Admin'!BA4:BA22,MATCH($F$2,'Utility Admin'!$F$4:$F$22,0))</f>
        <v>#N/A</v>
      </c>
      <c r="BB2" s="339" t="e">
        <f>INDEX('Utility Admin'!BB4:BB22,MATCH($F$2,'Utility Admin'!$F$4:$F$22,0))</f>
        <v>#N/A</v>
      </c>
      <c r="BC2" s="339" t="e">
        <f>INDEX('Utility Admin'!BC4:BC22,MATCH($F$2,'Utility Admin'!$F$4:$F$22,0))</f>
        <v>#N/A</v>
      </c>
      <c r="BD2" s="339" t="e">
        <f>INDEX('Utility Admin'!BD4:BD22,MATCH($F$2,'Utility Admin'!$F$4:$F$22,0))</f>
        <v>#N/A</v>
      </c>
      <c r="BE2" s="339" t="e">
        <f>INDEX('Utility Admin'!BE4:BE22,MATCH($F$2,'Utility Admin'!$F$4:$F$22,0))</f>
        <v>#N/A</v>
      </c>
      <c r="BF2" s="339" t="e">
        <f>INDEX('Utility Admin'!BF4:BF22,MATCH($F$2,'Utility Admin'!$F$4:$F$22,0))</f>
        <v>#N/A</v>
      </c>
      <c r="BG2" s="350" t="e">
        <f>INDEX('Utility Admin'!BG4:BG22,MATCH($F$2,'Utility Admin'!$F$4:$F$22,0))</f>
        <v>#N/A</v>
      </c>
      <c r="BH2" s="339" t="e">
        <f>INDEX('Utility Admin'!BH4:BH22,MATCH($F$2,'Utility Admin'!$F$4:$F$22,0))</f>
        <v>#N/A</v>
      </c>
    </row>
    <row r="3" spans="1:60" s="340" customFormat="1" x14ac:dyDescent="0.25">
      <c r="A3" s="346" t="s">
        <v>100</v>
      </c>
      <c r="B3" s="346" t="s">
        <v>152</v>
      </c>
      <c r="C3" s="346"/>
      <c r="D3" s="346"/>
      <c r="E3" s="346"/>
      <c r="F3" s="346"/>
      <c r="G3" s="346" t="s">
        <v>374</v>
      </c>
      <c r="H3" s="346" t="s">
        <v>375</v>
      </c>
      <c r="I3" s="346"/>
      <c r="J3" s="346" t="s">
        <v>470</v>
      </c>
      <c r="K3" s="348" t="s">
        <v>1043</v>
      </c>
      <c r="L3" s="353" t="s">
        <v>728</v>
      </c>
      <c r="M3" s="346" t="s">
        <v>729</v>
      </c>
      <c r="N3" s="346" t="s">
        <v>732</v>
      </c>
      <c r="O3" s="348" t="s">
        <v>731</v>
      </c>
      <c r="P3" s="353" t="s">
        <v>39</v>
      </c>
      <c r="Q3" s="346" t="s">
        <v>40</v>
      </c>
      <c r="R3" s="346" t="s">
        <v>36</v>
      </c>
      <c r="S3" s="346" t="s">
        <v>42</v>
      </c>
      <c r="T3" s="346" t="s">
        <v>371</v>
      </c>
      <c r="U3" s="346" t="s">
        <v>372</v>
      </c>
      <c r="V3" s="346" t="s">
        <v>43</v>
      </c>
      <c r="W3" s="346" t="s">
        <v>44</v>
      </c>
      <c r="X3" s="346" t="s">
        <v>333</v>
      </c>
      <c r="Y3" s="346" t="s">
        <v>334</v>
      </c>
      <c r="Z3" s="346" t="s">
        <v>49</v>
      </c>
      <c r="AA3" s="346" t="s">
        <v>50</v>
      </c>
      <c r="AB3" s="423" t="s">
        <v>1061</v>
      </c>
      <c r="AC3" s="423" t="s">
        <v>1179</v>
      </c>
      <c r="AD3" s="423" t="s">
        <v>1180</v>
      </c>
      <c r="AE3" s="353" t="s">
        <v>39</v>
      </c>
      <c r="AF3" s="346" t="s">
        <v>40</v>
      </c>
      <c r="AG3" s="346" t="s">
        <v>36</v>
      </c>
      <c r="AH3" s="346" t="s">
        <v>42</v>
      </c>
      <c r="AI3" s="346" t="s">
        <v>371</v>
      </c>
      <c r="AJ3" s="346" t="s">
        <v>372</v>
      </c>
      <c r="AK3" s="346" t="s">
        <v>43</v>
      </c>
      <c r="AL3" s="346" t="s">
        <v>44</v>
      </c>
      <c r="AM3" s="346" t="s">
        <v>333</v>
      </c>
      <c r="AN3" s="346" t="s">
        <v>334</v>
      </c>
      <c r="AO3" s="346" t="s">
        <v>49</v>
      </c>
      <c r="AP3" s="346" t="s">
        <v>50</v>
      </c>
      <c r="AQ3" s="346" t="s">
        <v>1061</v>
      </c>
      <c r="AR3" s="423" t="s">
        <v>1179</v>
      </c>
      <c r="AS3" s="423" t="s">
        <v>1180</v>
      </c>
      <c r="AT3" s="353" t="s">
        <v>39</v>
      </c>
      <c r="AU3" s="346" t="s">
        <v>40</v>
      </c>
      <c r="AV3" s="346" t="s">
        <v>36</v>
      </c>
      <c r="AW3" s="346" t="s">
        <v>42</v>
      </c>
      <c r="AX3" s="346" t="s">
        <v>371</v>
      </c>
      <c r="AY3" s="346" t="s">
        <v>372</v>
      </c>
      <c r="AZ3" s="346" t="s">
        <v>43</v>
      </c>
      <c r="BA3" s="346" t="s">
        <v>44</v>
      </c>
      <c r="BB3" s="346" t="s">
        <v>333</v>
      </c>
      <c r="BC3" s="346" t="s">
        <v>334</v>
      </c>
      <c r="BD3" s="346" t="s">
        <v>49</v>
      </c>
      <c r="BE3" s="346" t="s">
        <v>50</v>
      </c>
      <c r="BF3" s="346" t="s">
        <v>1061</v>
      </c>
      <c r="BG3" s="423" t="s">
        <v>1179</v>
      </c>
      <c r="BH3" s="346" t="s">
        <v>1180</v>
      </c>
    </row>
    <row r="4" spans="1:60" s="559" customFormat="1" hidden="1" x14ac:dyDescent="0.25">
      <c r="A4" s="548" t="s">
        <v>103</v>
      </c>
      <c r="B4" s="548" t="s">
        <v>153</v>
      </c>
      <c r="C4" s="548" t="str">
        <f t="shared" ref="C4:C22" si="0">A4&amp;B4</f>
        <v>LACLECO</v>
      </c>
      <c r="D4" s="549" t="s">
        <v>153</v>
      </c>
      <c r="E4" s="548" t="s">
        <v>181</v>
      </c>
      <c r="F4" s="548" t="str">
        <f t="shared" ref="F4:F22" si="1">C4&amp;E4</f>
        <v>LACLECOLarge C&amp;I</v>
      </c>
      <c r="G4" s="549">
        <v>25000</v>
      </c>
      <c r="H4" s="550">
        <v>1</v>
      </c>
      <c r="I4" s="549">
        <f>IF('Project Info'!$D$17="",G4,MIN(H4*'Project Info'!$D$17,G4))</f>
        <v>25000</v>
      </c>
      <c r="J4" s="549" t="s">
        <v>471</v>
      </c>
      <c r="K4" s="551" t="s">
        <v>1042</v>
      </c>
      <c r="L4" s="552"/>
      <c r="M4" s="549"/>
      <c r="N4" s="553"/>
      <c r="O4" s="554"/>
      <c r="P4" s="555"/>
      <c r="Q4" s="548"/>
      <c r="R4" s="548"/>
      <c r="S4" s="548"/>
      <c r="T4" s="548"/>
      <c r="U4" s="548"/>
      <c r="V4" s="548"/>
      <c r="W4" s="548"/>
      <c r="X4" s="548"/>
      <c r="Y4" s="548"/>
      <c r="Z4" s="548"/>
      <c r="AA4" s="548"/>
      <c r="AB4" s="548"/>
      <c r="AC4" s="548"/>
      <c r="AD4" s="556"/>
      <c r="AE4" s="555"/>
      <c r="AF4" s="548"/>
      <c r="AG4" s="548"/>
      <c r="AH4" s="548"/>
      <c r="AI4" s="548"/>
      <c r="AJ4" s="548"/>
      <c r="AK4" s="548"/>
      <c r="AL4" s="548"/>
      <c r="AM4" s="548"/>
      <c r="AN4" s="548"/>
      <c r="AO4" s="548"/>
      <c r="AP4" s="548"/>
      <c r="AQ4" s="548"/>
      <c r="AR4" s="548"/>
      <c r="AS4" s="556"/>
      <c r="AT4" s="557">
        <v>0.15</v>
      </c>
      <c r="AU4" s="558">
        <v>0.15</v>
      </c>
      <c r="AV4" s="558">
        <v>0.15</v>
      </c>
      <c r="AW4" s="558">
        <v>0.15</v>
      </c>
      <c r="AX4" s="558">
        <v>0.15</v>
      </c>
      <c r="AY4" s="558">
        <v>0.15</v>
      </c>
      <c r="AZ4" s="558">
        <v>0.15</v>
      </c>
      <c r="BA4" s="558">
        <v>0.15</v>
      </c>
      <c r="BB4" s="558">
        <v>0.15</v>
      </c>
      <c r="BC4" s="558">
        <v>0.15</v>
      </c>
      <c r="BD4" s="558">
        <v>0.15</v>
      </c>
      <c r="BE4" s="558">
        <v>0.15</v>
      </c>
      <c r="BF4" s="558"/>
      <c r="BG4" s="556"/>
      <c r="BH4" s="548"/>
    </row>
    <row r="5" spans="1:60" s="559" customFormat="1" hidden="1" x14ac:dyDescent="0.25">
      <c r="A5" s="548" t="s">
        <v>103</v>
      </c>
      <c r="B5" s="548" t="s">
        <v>153</v>
      </c>
      <c r="C5" s="548" t="str">
        <f t="shared" si="0"/>
        <v>LACLECO</v>
      </c>
      <c r="D5" s="549" t="s">
        <v>153</v>
      </c>
      <c r="E5" s="548" t="s">
        <v>808</v>
      </c>
      <c r="F5" s="548" t="str">
        <f t="shared" si="1"/>
        <v>LACLECOSmall Business</v>
      </c>
      <c r="G5" s="549">
        <v>25000</v>
      </c>
      <c r="H5" s="550">
        <v>1</v>
      </c>
      <c r="I5" s="549">
        <f>IF('Project Info'!$D$17="",G5,MIN(H5*'Project Info'!$D$17,G5))</f>
        <v>25000</v>
      </c>
      <c r="J5" s="549" t="s">
        <v>471</v>
      </c>
      <c r="K5" s="551" t="s">
        <v>1042</v>
      </c>
      <c r="L5" s="552"/>
      <c r="M5" s="549"/>
      <c r="N5" s="553"/>
      <c r="O5" s="554"/>
      <c r="P5" s="555"/>
      <c r="Q5" s="548"/>
      <c r="R5" s="548"/>
      <c r="S5" s="548"/>
      <c r="T5" s="548"/>
      <c r="U5" s="548"/>
      <c r="V5" s="548"/>
      <c r="W5" s="548"/>
      <c r="X5" s="548"/>
      <c r="Y5" s="548"/>
      <c r="Z5" s="548"/>
      <c r="AA5" s="548"/>
      <c r="AB5" s="548"/>
      <c r="AC5" s="548"/>
      <c r="AD5" s="556"/>
      <c r="AE5" s="555"/>
      <c r="AF5" s="548"/>
      <c r="AG5" s="548"/>
      <c r="AH5" s="548"/>
      <c r="AI5" s="548"/>
      <c r="AJ5" s="548"/>
      <c r="AK5" s="548"/>
      <c r="AL5" s="548"/>
      <c r="AM5" s="548"/>
      <c r="AN5" s="548"/>
      <c r="AO5" s="548"/>
      <c r="AP5" s="548"/>
      <c r="AQ5" s="548"/>
      <c r="AR5" s="548"/>
      <c r="AS5" s="556"/>
      <c r="AT5" s="557">
        <v>0.16</v>
      </c>
      <c r="AU5" s="558">
        <v>0.16</v>
      </c>
      <c r="AV5" s="558">
        <v>0.16</v>
      </c>
      <c r="AW5" s="558">
        <v>0.16</v>
      </c>
      <c r="AX5" s="558">
        <v>0.16</v>
      </c>
      <c r="AY5" s="558">
        <v>0.16</v>
      </c>
      <c r="AZ5" s="558">
        <v>0.16</v>
      </c>
      <c r="BA5" s="558">
        <v>0.16</v>
      </c>
      <c r="BB5" s="558">
        <v>0.16</v>
      </c>
      <c r="BC5" s="558">
        <v>0.16</v>
      </c>
      <c r="BD5" s="558">
        <v>0.16</v>
      </c>
      <c r="BE5" s="558">
        <v>0.16</v>
      </c>
      <c r="BF5" s="558"/>
      <c r="BG5" s="556"/>
      <c r="BH5" s="548"/>
    </row>
    <row r="6" spans="1:60" s="559" customFormat="1" hidden="1" x14ac:dyDescent="0.25">
      <c r="A6" s="548" t="s">
        <v>103</v>
      </c>
      <c r="B6" s="548" t="s">
        <v>155</v>
      </c>
      <c r="C6" s="548" t="str">
        <f t="shared" si="0"/>
        <v>LAEntergy Gulf States</v>
      </c>
      <c r="D6" s="549" t="s">
        <v>397</v>
      </c>
      <c r="E6" s="548" t="s">
        <v>181</v>
      </c>
      <c r="F6" s="548" t="str">
        <f t="shared" si="1"/>
        <v>LAEntergy Gulf StatesLarge C&amp;I</v>
      </c>
      <c r="G6" s="549">
        <v>25000</v>
      </c>
      <c r="H6" s="550">
        <v>1</v>
      </c>
      <c r="I6" s="549">
        <f>IF('Project Info'!$D$17="",G6,MIN(H6*'Project Info'!$D$17,G6))</f>
        <v>25000</v>
      </c>
      <c r="J6" s="549" t="s">
        <v>471</v>
      </c>
      <c r="K6" s="551" t="s">
        <v>1042</v>
      </c>
      <c r="L6" s="552"/>
      <c r="M6" s="549"/>
      <c r="N6" s="553"/>
      <c r="O6" s="554"/>
      <c r="P6" s="555"/>
      <c r="Q6" s="548"/>
      <c r="R6" s="548"/>
      <c r="S6" s="548"/>
      <c r="T6" s="548"/>
      <c r="U6" s="548"/>
      <c r="V6" s="548"/>
      <c r="W6" s="548"/>
      <c r="X6" s="548"/>
      <c r="Y6" s="548"/>
      <c r="Z6" s="548"/>
      <c r="AA6" s="548"/>
      <c r="AB6" s="548"/>
      <c r="AC6" s="548"/>
      <c r="AD6" s="556"/>
      <c r="AE6" s="555"/>
      <c r="AF6" s="548"/>
      <c r="AG6" s="548"/>
      <c r="AH6" s="548"/>
      <c r="AI6" s="548"/>
      <c r="AJ6" s="548"/>
      <c r="AK6" s="548"/>
      <c r="AL6" s="548"/>
      <c r="AM6" s="548"/>
      <c r="AN6" s="548"/>
      <c r="AO6" s="548"/>
      <c r="AP6" s="548"/>
      <c r="AQ6" s="548"/>
      <c r="AR6" s="548"/>
      <c r="AS6" s="556"/>
      <c r="AT6" s="557">
        <v>0.15</v>
      </c>
      <c r="AU6" s="558">
        <v>0.15</v>
      </c>
      <c r="AV6" s="558">
        <v>0.15</v>
      </c>
      <c r="AW6" s="558">
        <v>0.15</v>
      </c>
      <c r="AX6" s="558">
        <v>0.15</v>
      </c>
      <c r="AY6" s="558">
        <v>0.15</v>
      </c>
      <c r="AZ6" s="558">
        <v>0.15</v>
      </c>
      <c r="BA6" s="558">
        <v>0.15</v>
      </c>
      <c r="BB6" s="558">
        <v>0.15</v>
      </c>
      <c r="BC6" s="558">
        <v>0.15</v>
      </c>
      <c r="BD6" s="558">
        <v>0.15</v>
      </c>
      <c r="BE6" s="558">
        <v>0.15</v>
      </c>
      <c r="BF6" s="558"/>
      <c r="BG6" s="556"/>
      <c r="BH6" s="548"/>
    </row>
    <row r="7" spans="1:60" s="559" customFormat="1" hidden="1" x14ac:dyDescent="0.25">
      <c r="A7" s="548" t="s">
        <v>103</v>
      </c>
      <c r="B7" s="548" t="s">
        <v>155</v>
      </c>
      <c r="C7" s="548" t="str">
        <f t="shared" ref="C7" si="2">A7&amp;B7</f>
        <v>LAEntergy Gulf States</v>
      </c>
      <c r="D7" s="549" t="s">
        <v>397</v>
      </c>
      <c r="E7" s="548" t="s">
        <v>808</v>
      </c>
      <c r="F7" s="548" t="str">
        <f t="shared" si="1"/>
        <v>LAEntergy Gulf StatesSmall Business</v>
      </c>
      <c r="G7" s="549">
        <v>25000</v>
      </c>
      <c r="H7" s="550">
        <v>1</v>
      </c>
      <c r="I7" s="549">
        <f>IF('Project Info'!$D$17="",G7,MIN(H7*'Project Info'!$D$17,G7))</f>
        <v>25000</v>
      </c>
      <c r="J7" s="549" t="s">
        <v>471</v>
      </c>
      <c r="K7" s="551" t="s">
        <v>1042</v>
      </c>
      <c r="L7" s="552"/>
      <c r="M7" s="549"/>
      <c r="N7" s="553"/>
      <c r="O7" s="554"/>
      <c r="P7" s="555"/>
      <c r="Q7" s="548"/>
      <c r="R7" s="548"/>
      <c r="S7" s="548"/>
      <c r="T7" s="548"/>
      <c r="U7" s="548"/>
      <c r="V7" s="548"/>
      <c r="W7" s="548"/>
      <c r="X7" s="548"/>
      <c r="Y7" s="548"/>
      <c r="Z7" s="548"/>
      <c r="AA7" s="548"/>
      <c r="AB7" s="548"/>
      <c r="AC7" s="548"/>
      <c r="AD7" s="556"/>
      <c r="AE7" s="555"/>
      <c r="AF7" s="548"/>
      <c r="AG7" s="548"/>
      <c r="AH7" s="548"/>
      <c r="AI7" s="548"/>
      <c r="AJ7" s="548"/>
      <c r="AK7" s="548"/>
      <c r="AL7" s="548"/>
      <c r="AM7" s="548"/>
      <c r="AN7" s="548"/>
      <c r="AO7" s="548"/>
      <c r="AP7" s="548"/>
      <c r="AQ7" s="548"/>
      <c r="AR7" s="548"/>
      <c r="AS7" s="556"/>
      <c r="AT7" s="557">
        <v>0.16</v>
      </c>
      <c r="AU7" s="558">
        <v>0.16</v>
      </c>
      <c r="AV7" s="558">
        <v>0.16</v>
      </c>
      <c r="AW7" s="558">
        <v>0.16</v>
      </c>
      <c r="AX7" s="558">
        <v>0.16</v>
      </c>
      <c r="AY7" s="558">
        <v>0.16</v>
      </c>
      <c r="AZ7" s="558">
        <v>0.16</v>
      </c>
      <c r="BA7" s="558">
        <v>0.16</v>
      </c>
      <c r="BB7" s="558">
        <v>0.16</v>
      </c>
      <c r="BC7" s="558">
        <v>0.16</v>
      </c>
      <c r="BD7" s="558">
        <v>0.16</v>
      </c>
      <c r="BE7" s="558">
        <v>0.16</v>
      </c>
      <c r="BF7" s="558"/>
      <c r="BG7" s="556"/>
      <c r="BH7" s="548"/>
    </row>
    <row r="8" spans="1:60" s="559" customFormat="1" hidden="1" x14ac:dyDescent="0.25">
      <c r="A8" s="548" t="s">
        <v>103</v>
      </c>
      <c r="B8" s="548" t="s">
        <v>154</v>
      </c>
      <c r="C8" s="548" t="str">
        <f t="shared" si="0"/>
        <v>LAEntergy Louisiana</v>
      </c>
      <c r="D8" s="549" t="s">
        <v>398</v>
      </c>
      <c r="E8" s="548" t="s">
        <v>181</v>
      </c>
      <c r="F8" s="548" t="str">
        <f t="shared" si="1"/>
        <v>LAEntergy LouisianaLarge C&amp;I</v>
      </c>
      <c r="G8" s="549">
        <v>25000</v>
      </c>
      <c r="H8" s="550">
        <v>1</v>
      </c>
      <c r="I8" s="549">
        <f>IF('Project Info'!$D$17="",G8,MIN(H8*'Project Info'!$D$17,G8))</f>
        <v>25000</v>
      </c>
      <c r="J8" s="549" t="s">
        <v>471</v>
      </c>
      <c r="K8" s="551" t="s">
        <v>1042</v>
      </c>
      <c r="L8" s="552"/>
      <c r="M8" s="549"/>
      <c r="N8" s="553"/>
      <c r="O8" s="554"/>
      <c r="P8" s="555"/>
      <c r="Q8" s="548"/>
      <c r="R8" s="548"/>
      <c r="S8" s="548"/>
      <c r="T8" s="548"/>
      <c r="U8" s="548"/>
      <c r="V8" s="548"/>
      <c r="W8" s="548"/>
      <c r="X8" s="548"/>
      <c r="Y8" s="548"/>
      <c r="Z8" s="548"/>
      <c r="AA8" s="548"/>
      <c r="AB8" s="548"/>
      <c r="AC8" s="548"/>
      <c r="AD8" s="556"/>
      <c r="AE8" s="555"/>
      <c r="AF8" s="548"/>
      <c r="AG8" s="548"/>
      <c r="AH8" s="548"/>
      <c r="AI8" s="548"/>
      <c r="AJ8" s="548"/>
      <c r="AK8" s="548"/>
      <c r="AL8" s="548"/>
      <c r="AM8" s="548"/>
      <c r="AN8" s="548"/>
      <c r="AO8" s="548"/>
      <c r="AP8" s="548"/>
      <c r="AQ8" s="548"/>
      <c r="AR8" s="548"/>
      <c r="AS8" s="556"/>
      <c r="AT8" s="557">
        <v>0.15</v>
      </c>
      <c r="AU8" s="558">
        <v>0.15</v>
      </c>
      <c r="AV8" s="558">
        <v>0.15</v>
      </c>
      <c r="AW8" s="558">
        <v>0.15</v>
      </c>
      <c r="AX8" s="558">
        <v>0.15</v>
      </c>
      <c r="AY8" s="558">
        <v>0.15</v>
      </c>
      <c r="AZ8" s="558">
        <v>0.15</v>
      </c>
      <c r="BA8" s="558">
        <v>0.15</v>
      </c>
      <c r="BB8" s="558">
        <v>0.15</v>
      </c>
      <c r="BC8" s="558">
        <v>0.15</v>
      </c>
      <c r="BD8" s="558">
        <v>0.15</v>
      </c>
      <c r="BE8" s="558">
        <v>0.15</v>
      </c>
      <c r="BF8" s="558"/>
      <c r="BG8" s="556"/>
      <c r="BH8" s="548"/>
    </row>
    <row r="9" spans="1:60" s="559" customFormat="1" hidden="1" x14ac:dyDescent="0.25">
      <c r="A9" s="548" t="s">
        <v>103</v>
      </c>
      <c r="B9" s="548" t="s">
        <v>154</v>
      </c>
      <c r="C9" s="548" t="str">
        <f t="shared" ref="C9" si="3">A9&amp;B9</f>
        <v>LAEntergy Louisiana</v>
      </c>
      <c r="D9" s="549" t="s">
        <v>398</v>
      </c>
      <c r="E9" s="548" t="s">
        <v>808</v>
      </c>
      <c r="F9" s="548" t="str">
        <f t="shared" si="1"/>
        <v>LAEntergy LouisianaSmall Business</v>
      </c>
      <c r="G9" s="549">
        <v>25000</v>
      </c>
      <c r="H9" s="550">
        <v>1</v>
      </c>
      <c r="I9" s="549">
        <f>IF('Project Info'!$D$17="",G9,MIN(H9*'Project Info'!$D$17,G9))</f>
        <v>25000</v>
      </c>
      <c r="J9" s="549" t="s">
        <v>471</v>
      </c>
      <c r="K9" s="551" t="s">
        <v>1042</v>
      </c>
      <c r="L9" s="552"/>
      <c r="M9" s="549"/>
      <c r="N9" s="553"/>
      <c r="O9" s="554"/>
      <c r="P9" s="555"/>
      <c r="Q9" s="548"/>
      <c r="R9" s="548"/>
      <c r="S9" s="548"/>
      <c r="T9" s="548"/>
      <c r="U9" s="548"/>
      <c r="V9" s="548"/>
      <c r="W9" s="548"/>
      <c r="X9" s="548"/>
      <c r="Y9" s="548"/>
      <c r="Z9" s="548"/>
      <c r="AA9" s="548"/>
      <c r="AB9" s="548"/>
      <c r="AC9" s="548"/>
      <c r="AD9" s="556"/>
      <c r="AE9" s="555"/>
      <c r="AF9" s="548"/>
      <c r="AG9" s="548"/>
      <c r="AH9" s="548"/>
      <c r="AI9" s="548"/>
      <c r="AJ9" s="548"/>
      <c r="AK9" s="548"/>
      <c r="AL9" s="548"/>
      <c r="AM9" s="548"/>
      <c r="AN9" s="548"/>
      <c r="AO9" s="548"/>
      <c r="AP9" s="548"/>
      <c r="AQ9" s="548"/>
      <c r="AR9" s="548"/>
      <c r="AS9" s="556"/>
      <c r="AT9" s="557">
        <v>0.16</v>
      </c>
      <c r="AU9" s="558">
        <v>0.16</v>
      </c>
      <c r="AV9" s="558">
        <v>0.16</v>
      </c>
      <c r="AW9" s="558">
        <v>0.16</v>
      </c>
      <c r="AX9" s="558">
        <v>0.16</v>
      </c>
      <c r="AY9" s="558">
        <v>0.16</v>
      </c>
      <c r="AZ9" s="558">
        <v>0.16</v>
      </c>
      <c r="BA9" s="558">
        <v>0.16</v>
      </c>
      <c r="BB9" s="558">
        <v>0.16</v>
      </c>
      <c r="BC9" s="558">
        <v>0.16</v>
      </c>
      <c r="BD9" s="558">
        <v>0.16</v>
      </c>
      <c r="BE9" s="558">
        <v>0.16</v>
      </c>
      <c r="BF9" s="558"/>
      <c r="BG9" s="556"/>
      <c r="BH9" s="548"/>
    </row>
    <row r="10" spans="1:60" s="559" customFormat="1" hidden="1" x14ac:dyDescent="0.25">
      <c r="A10" s="548" t="s">
        <v>103</v>
      </c>
      <c r="B10" s="548" t="s">
        <v>169</v>
      </c>
      <c r="C10" s="548" t="str">
        <f t="shared" si="0"/>
        <v>LAEntergy New Orleans</v>
      </c>
      <c r="D10" s="549" t="s">
        <v>399</v>
      </c>
      <c r="E10" s="548" t="s">
        <v>181</v>
      </c>
      <c r="F10" s="548" t="str">
        <f t="shared" si="1"/>
        <v>LAEntergy New OrleansLarge C&amp;I</v>
      </c>
      <c r="G10" s="549">
        <v>50000</v>
      </c>
      <c r="H10" s="550">
        <v>1</v>
      </c>
      <c r="I10" s="549">
        <f>IF('Project Info'!$D$17="",G10,MIN(H10*'Project Info'!$D$17,G10))</f>
        <v>50000</v>
      </c>
      <c r="J10" s="549" t="s">
        <v>471</v>
      </c>
      <c r="K10" s="551" t="s">
        <v>1042</v>
      </c>
      <c r="L10" s="552"/>
      <c r="M10" s="549"/>
      <c r="N10" s="553"/>
      <c r="O10" s="554"/>
      <c r="P10" s="555"/>
      <c r="Q10" s="548"/>
      <c r="R10" s="548"/>
      <c r="S10" s="548"/>
      <c r="T10" s="548"/>
      <c r="U10" s="548"/>
      <c r="V10" s="548"/>
      <c r="W10" s="548"/>
      <c r="X10" s="548"/>
      <c r="Y10" s="548"/>
      <c r="Z10" s="548"/>
      <c r="AA10" s="548"/>
      <c r="AB10" s="548"/>
      <c r="AC10" s="548"/>
      <c r="AD10" s="556"/>
      <c r="AE10" s="555"/>
      <c r="AF10" s="548"/>
      <c r="AG10" s="548"/>
      <c r="AH10" s="548"/>
      <c r="AI10" s="548"/>
      <c r="AJ10" s="548"/>
      <c r="AK10" s="548"/>
      <c r="AL10" s="548"/>
      <c r="AM10" s="548"/>
      <c r="AN10" s="548"/>
      <c r="AO10" s="548"/>
      <c r="AP10" s="548"/>
      <c r="AQ10" s="548"/>
      <c r="AR10" s="548"/>
      <c r="AS10" s="556"/>
      <c r="AT10" s="557">
        <v>0.12</v>
      </c>
      <c r="AU10" s="558">
        <v>0.12</v>
      </c>
      <c r="AV10" s="558">
        <v>0.12</v>
      </c>
      <c r="AW10" s="558">
        <v>0.12</v>
      </c>
      <c r="AX10" s="558">
        <v>0.12</v>
      </c>
      <c r="AY10" s="558">
        <v>0.12</v>
      </c>
      <c r="AZ10" s="558">
        <v>0.12</v>
      </c>
      <c r="BA10" s="558">
        <v>0.12</v>
      </c>
      <c r="BB10" s="558">
        <v>0.12</v>
      </c>
      <c r="BC10" s="558">
        <v>0.12</v>
      </c>
      <c r="BD10" s="558">
        <v>0.12</v>
      </c>
      <c r="BE10" s="558">
        <v>0.12</v>
      </c>
      <c r="BF10" s="558"/>
      <c r="BG10" s="556"/>
      <c r="BH10" s="548"/>
    </row>
    <row r="11" spans="1:60" s="559" customFormat="1" hidden="1" x14ac:dyDescent="0.25">
      <c r="A11" s="548" t="s">
        <v>103</v>
      </c>
      <c r="B11" s="548" t="s">
        <v>169</v>
      </c>
      <c r="C11" s="548" t="str">
        <f t="shared" ref="C11" si="4">A11&amp;B11</f>
        <v>LAEntergy New Orleans</v>
      </c>
      <c r="D11" s="549" t="s">
        <v>399</v>
      </c>
      <c r="E11" s="548" t="s">
        <v>808</v>
      </c>
      <c r="F11" s="548" t="str">
        <f t="shared" si="1"/>
        <v>LAEntergy New OrleansSmall Business</v>
      </c>
      <c r="G11" s="549">
        <v>50000</v>
      </c>
      <c r="H11" s="550">
        <v>1</v>
      </c>
      <c r="I11" s="549">
        <f>IF('Project Info'!$D$17="",G11,MIN(H11*'Project Info'!$D$17,G11))</f>
        <v>50000</v>
      </c>
      <c r="J11" s="549" t="s">
        <v>471</v>
      </c>
      <c r="K11" s="551" t="s">
        <v>1042</v>
      </c>
      <c r="L11" s="552"/>
      <c r="M11" s="549"/>
      <c r="N11" s="553"/>
      <c r="O11" s="554"/>
      <c r="P11" s="555"/>
      <c r="Q11" s="548"/>
      <c r="R11" s="548"/>
      <c r="S11" s="548"/>
      <c r="T11" s="548"/>
      <c r="U11" s="548"/>
      <c r="V11" s="548"/>
      <c r="W11" s="548"/>
      <c r="X11" s="548"/>
      <c r="Y11" s="548"/>
      <c r="Z11" s="548"/>
      <c r="AA11" s="548"/>
      <c r="AB11" s="548"/>
      <c r="AC11" s="548"/>
      <c r="AD11" s="556"/>
      <c r="AE11" s="555"/>
      <c r="AF11" s="548"/>
      <c r="AG11" s="548"/>
      <c r="AH11" s="548"/>
      <c r="AI11" s="548"/>
      <c r="AJ11" s="548"/>
      <c r="AK11" s="548"/>
      <c r="AL11" s="548"/>
      <c r="AM11" s="548"/>
      <c r="AN11" s="548"/>
      <c r="AO11" s="548"/>
      <c r="AP11" s="548"/>
      <c r="AQ11" s="548"/>
      <c r="AR11" s="548"/>
      <c r="AS11" s="556"/>
      <c r="AT11" s="557">
        <v>0.12</v>
      </c>
      <c r="AU11" s="558">
        <v>0.12</v>
      </c>
      <c r="AV11" s="558">
        <v>0.12</v>
      </c>
      <c r="AW11" s="558">
        <v>0.12</v>
      </c>
      <c r="AX11" s="558">
        <v>0.12</v>
      </c>
      <c r="AY11" s="558">
        <v>0.12</v>
      </c>
      <c r="AZ11" s="558">
        <v>0.12</v>
      </c>
      <c r="BA11" s="558">
        <v>0.12</v>
      </c>
      <c r="BB11" s="558">
        <v>0.12</v>
      </c>
      <c r="BC11" s="558">
        <v>0.12</v>
      </c>
      <c r="BD11" s="558">
        <v>0.12</v>
      </c>
      <c r="BE11" s="558">
        <v>0.12</v>
      </c>
      <c r="BF11" s="558"/>
      <c r="BG11" s="556"/>
      <c r="BH11" s="548"/>
    </row>
    <row r="12" spans="1:60" s="559" customFormat="1" hidden="1" x14ac:dyDescent="0.25">
      <c r="A12" s="548" t="s">
        <v>103</v>
      </c>
      <c r="B12" s="548" t="s">
        <v>157</v>
      </c>
      <c r="C12" s="548" t="str">
        <f t="shared" si="0"/>
        <v>LASWEPCO Louisiana</v>
      </c>
      <c r="D12" s="549" t="s">
        <v>401</v>
      </c>
      <c r="E12" s="548" t="s">
        <v>181</v>
      </c>
      <c r="F12" s="548" t="str">
        <f t="shared" si="1"/>
        <v>LASWEPCO LouisianaLarge C&amp;I</v>
      </c>
      <c r="G12" s="549">
        <f>MIN(30000,MAX(5000,ROUNDDOWN(Inventory!AO3*1000,-3)))</f>
        <v>5000</v>
      </c>
      <c r="H12" s="550">
        <v>0.8</v>
      </c>
      <c r="I12" s="549">
        <f>IF('Project Info'!$D$17="",G12,MIN(H12*'Project Info'!$D$17,G12))</f>
        <v>5000</v>
      </c>
      <c r="J12" s="549" t="s">
        <v>471</v>
      </c>
      <c r="K12" s="551" t="s">
        <v>1042</v>
      </c>
      <c r="L12" s="552"/>
      <c r="M12" s="549"/>
      <c r="N12" s="553"/>
      <c r="O12" s="554"/>
      <c r="P12" s="555"/>
      <c r="Q12" s="548"/>
      <c r="R12" s="548"/>
      <c r="S12" s="548"/>
      <c r="T12" s="548"/>
      <c r="U12" s="548"/>
      <c r="V12" s="548"/>
      <c r="W12" s="548"/>
      <c r="X12" s="548"/>
      <c r="Y12" s="548"/>
      <c r="Z12" s="548"/>
      <c r="AA12" s="548"/>
      <c r="AB12" s="548"/>
      <c r="AC12" s="548"/>
      <c r="AD12" s="556"/>
      <c r="AE12" s="555"/>
      <c r="AF12" s="548"/>
      <c r="AG12" s="548"/>
      <c r="AH12" s="548"/>
      <c r="AI12" s="548"/>
      <c r="AJ12" s="548"/>
      <c r="AK12" s="548"/>
      <c r="AL12" s="548"/>
      <c r="AM12" s="548"/>
      <c r="AN12" s="548"/>
      <c r="AO12" s="548"/>
      <c r="AP12" s="548"/>
      <c r="AQ12" s="548"/>
      <c r="AR12" s="548"/>
      <c r="AS12" s="556"/>
      <c r="AT12" s="557">
        <v>0.15</v>
      </c>
      <c r="AU12" s="558">
        <v>0.15</v>
      </c>
      <c r="AV12" s="558">
        <v>0.15</v>
      </c>
      <c r="AW12" s="558">
        <v>0.15</v>
      </c>
      <c r="AX12" s="558">
        <v>0.15</v>
      </c>
      <c r="AY12" s="558">
        <v>0.15</v>
      </c>
      <c r="AZ12" s="558">
        <v>0.15</v>
      </c>
      <c r="BA12" s="558">
        <v>0.15</v>
      </c>
      <c r="BB12" s="558">
        <v>0.15</v>
      </c>
      <c r="BC12" s="558">
        <v>0.15</v>
      </c>
      <c r="BD12" s="558">
        <v>0.15</v>
      </c>
      <c r="BE12" s="558">
        <v>0.15</v>
      </c>
      <c r="BF12" s="558"/>
      <c r="BG12" s="556"/>
      <c r="BH12" s="548"/>
    </row>
    <row r="13" spans="1:60" x14ac:dyDescent="0.25">
      <c r="A13" s="81" t="s">
        <v>467</v>
      </c>
      <c r="B13" s="81" t="s">
        <v>468</v>
      </c>
      <c r="C13" s="81" t="str">
        <f t="shared" si="0"/>
        <v>TXCPS Energy</v>
      </c>
      <c r="D13" s="339" t="s">
        <v>469</v>
      </c>
      <c r="E13" s="81" t="s">
        <v>1442</v>
      </c>
      <c r="F13" s="81" t="str">
        <f t="shared" si="1"/>
        <v>TXCPS EnergyCommercial &amp; Industrial</v>
      </c>
      <c r="G13" s="339">
        <v>999999</v>
      </c>
      <c r="H13" s="341">
        <v>0.75</v>
      </c>
      <c r="I13" s="339">
        <f>IF('Project Info'!$D$17="",G13,MIN(H13*'Project Info'!$D$17,G13))</f>
        <v>999999</v>
      </c>
      <c r="J13" s="339" t="s">
        <v>472</v>
      </c>
      <c r="K13" s="350" t="s">
        <v>469</v>
      </c>
      <c r="L13" s="352">
        <v>92.18</v>
      </c>
      <c r="M13" s="344">
        <v>7.6999999999999999E-2</v>
      </c>
      <c r="N13" s="345">
        <v>6.6000000000000003E-2</v>
      </c>
      <c r="O13" s="349">
        <v>0.02</v>
      </c>
      <c r="P13" s="352">
        <v>525</v>
      </c>
      <c r="Q13" s="339">
        <v>525</v>
      </c>
      <c r="R13" s="339">
        <v>350</v>
      </c>
      <c r="S13" s="339">
        <v>350</v>
      </c>
      <c r="T13" s="339">
        <v>350</v>
      </c>
      <c r="U13" s="339">
        <v>350</v>
      </c>
      <c r="V13" s="339">
        <v>350</v>
      </c>
      <c r="W13" s="339">
        <v>350</v>
      </c>
      <c r="X13" s="339">
        <v>350</v>
      </c>
      <c r="Y13" s="339">
        <v>350</v>
      </c>
      <c r="Z13" s="339">
        <v>350</v>
      </c>
      <c r="AA13" s="339">
        <v>350</v>
      </c>
      <c r="AB13" s="339">
        <v>350</v>
      </c>
      <c r="AC13" s="339">
        <v>350</v>
      </c>
      <c r="AD13" s="350">
        <v>350</v>
      </c>
      <c r="AE13" s="354"/>
      <c r="AF13" s="81"/>
      <c r="AG13" s="81"/>
      <c r="AH13" s="81"/>
      <c r="AI13" s="81"/>
      <c r="AJ13" s="81"/>
      <c r="AK13" s="81"/>
      <c r="AL13" s="81"/>
      <c r="AM13" s="81"/>
      <c r="AN13" s="81"/>
      <c r="AO13" s="81"/>
      <c r="AP13" s="81"/>
      <c r="AQ13" s="81"/>
      <c r="AR13" s="81"/>
      <c r="AS13" s="351"/>
      <c r="AT13" s="355">
        <v>0.05</v>
      </c>
      <c r="AU13" s="343">
        <v>0.05</v>
      </c>
      <c r="AV13" s="343">
        <v>0.05</v>
      </c>
      <c r="AW13" s="343">
        <v>0.05</v>
      </c>
      <c r="AX13" s="343">
        <v>0.05</v>
      </c>
      <c r="AY13" s="343">
        <v>0.05</v>
      </c>
      <c r="AZ13" s="343">
        <v>0.05</v>
      </c>
      <c r="BA13" s="343">
        <v>0.05</v>
      </c>
      <c r="BB13" s="343">
        <v>0.05</v>
      </c>
      <c r="BC13" s="343">
        <v>0.05</v>
      </c>
      <c r="BD13" s="343">
        <v>0.05</v>
      </c>
      <c r="BE13" s="343">
        <v>0.05</v>
      </c>
      <c r="BF13" s="343">
        <v>0.05</v>
      </c>
      <c r="BG13" s="343">
        <v>0.05</v>
      </c>
      <c r="BH13" s="343">
        <v>0.05</v>
      </c>
    </row>
    <row r="14" spans="1:60" x14ac:dyDescent="0.25">
      <c r="A14" s="81" t="s">
        <v>467</v>
      </c>
      <c r="B14" s="81" t="s">
        <v>468</v>
      </c>
      <c r="C14" s="81" t="str">
        <f t="shared" si="0"/>
        <v>TXCPS Energy</v>
      </c>
      <c r="D14" s="339" t="s">
        <v>469</v>
      </c>
      <c r="E14" s="81" t="s">
        <v>473</v>
      </c>
      <c r="F14" s="81" t="str">
        <f t="shared" si="1"/>
        <v>TXCPS EnergySchools &amp; Institutions</v>
      </c>
      <c r="G14" s="339">
        <v>999999</v>
      </c>
      <c r="H14" s="341">
        <v>0.75</v>
      </c>
      <c r="I14" s="339">
        <f>IF('Project Info'!$D$17="",G14,MIN(H14*'Project Info'!$D$17,G14))</f>
        <v>999999</v>
      </c>
      <c r="J14" s="339" t="s">
        <v>472</v>
      </c>
      <c r="K14" s="350" t="s">
        <v>469</v>
      </c>
      <c r="L14" s="352">
        <v>92.18</v>
      </c>
      <c r="M14" s="344">
        <v>7.6999999999999999E-2</v>
      </c>
      <c r="N14" s="345">
        <v>6.6000000000000003E-2</v>
      </c>
      <c r="O14" s="349">
        <v>0.02</v>
      </c>
      <c r="P14" s="352">
        <v>525</v>
      </c>
      <c r="Q14" s="339">
        <v>525</v>
      </c>
      <c r="R14" s="339">
        <v>350</v>
      </c>
      <c r="S14" s="339">
        <v>350</v>
      </c>
      <c r="T14" s="339">
        <v>350</v>
      </c>
      <c r="U14" s="339">
        <v>350</v>
      </c>
      <c r="V14" s="339">
        <v>350</v>
      </c>
      <c r="W14" s="339">
        <v>350</v>
      </c>
      <c r="X14" s="339">
        <v>350</v>
      </c>
      <c r="Y14" s="339">
        <v>350</v>
      </c>
      <c r="Z14" s="339">
        <v>350</v>
      </c>
      <c r="AA14" s="339">
        <v>350</v>
      </c>
      <c r="AB14" s="339">
        <v>350</v>
      </c>
      <c r="AC14" s="339">
        <v>350</v>
      </c>
      <c r="AD14" s="350">
        <v>350</v>
      </c>
      <c r="AE14" s="354"/>
      <c r="AF14" s="81"/>
      <c r="AG14" s="81"/>
      <c r="AH14" s="81"/>
      <c r="AI14" s="81"/>
      <c r="AJ14" s="81"/>
      <c r="AK14" s="81"/>
      <c r="AL14" s="81"/>
      <c r="AM14" s="81"/>
      <c r="AN14" s="81"/>
      <c r="AO14" s="81"/>
      <c r="AP14" s="81"/>
      <c r="AQ14" s="81"/>
      <c r="AR14" s="81"/>
      <c r="AS14" s="351"/>
      <c r="AT14" s="355">
        <v>0.05</v>
      </c>
      <c r="AU14" s="343">
        <v>0.05</v>
      </c>
      <c r="AV14" s="343">
        <v>0.05</v>
      </c>
      <c r="AW14" s="343">
        <v>0.05</v>
      </c>
      <c r="AX14" s="343">
        <v>0.05</v>
      </c>
      <c r="AY14" s="343">
        <v>0.05</v>
      </c>
      <c r="AZ14" s="343">
        <v>0.05</v>
      </c>
      <c r="BA14" s="343">
        <v>0.05</v>
      </c>
      <c r="BB14" s="343">
        <v>0.05</v>
      </c>
      <c r="BC14" s="343">
        <v>0.05</v>
      </c>
      <c r="BD14" s="343">
        <v>0.05</v>
      </c>
      <c r="BE14" s="343">
        <v>0.05</v>
      </c>
      <c r="BF14" s="343">
        <v>0.05</v>
      </c>
      <c r="BG14" s="343">
        <v>0.05</v>
      </c>
      <c r="BH14" s="343">
        <v>0.05</v>
      </c>
    </row>
    <row r="15" spans="1:60" x14ac:dyDescent="0.25">
      <c r="A15" s="81" t="s">
        <v>467</v>
      </c>
      <c r="B15" s="81" t="s">
        <v>468</v>
      </c>
      <c r="C15" s="81" t="str">
        <f t="shared" ref="C15" si="5">A15&amp;B15</f>
        <v>TXCPS Energy</v>
      </c>
      <c r="D15" s="339" t="s">
        <v>469</v>
      </c>
      <c r="E15" s="81" t="s">
        <v>808</v>
      </c>
      <c r="F15" s="81" t="str">
        <f t="shared" si="1"/>
        <v>TXCPS EnergySmall Business</v>
      </c>
      <c r="G15" s="339">
        <v>999999</v>
      </c>
      <c r="H15" s="341">
        <v>0.8</v>
      </c>
      <c r="I15" s="339">
        <f>IF('Project Info'!$D$17="",G15,MIN(H15*'Project Info'!$D$17,G15))</f>
        <v>999999</v>
      </c>
      <c r="J15" s="339" t="s">
        <v>472</v>
      </c>
      <c r="K15" s="350" t="s">
        <v>469</v>
      </c>
      <c r="L15" s="352">
        <v>92.18</v>
      </c>
      <c r="M15" s="344">
        <v>7.6999999999999999E-2</v>
      </c>
      <c r="N15" s="345">
        <v>6.6000000000000003E-2</v>
      </c>
      <c r="O15" s="349">
        <v>0.02</v>
      </c>
      <c r="P15" s="352">
        <v>550</v>
      </c>
      <c r="Q15" s="339">
        <v>550</v>
      </c>
      <c r="R15" s="339">
        <v>550</v>
      </c>
      <c r="S15" s="339">
        <v>550</v>
      </c>
      <c r="T15" s="339">
        <v>550</v>
      </c>
      <c r="U15" s="339">
        <v>550</v>
      </c>
      <c r="V15" s="339">
        <v>550</v>
      </c>
      <c r="W15" s="339">
        <v>550</v>
      </c>
      <c r="X15" s="339">
        <v>550</v>
      </c>
      <c r="Y15" s="339">
        <v>550</v>
      </c>
      <c r="Z15" s="339">
        <v>550</v>
      </c>
      <c r="AA15" s="339">
        <v>550</v>
      </c>
      <c r="AB15" s="339">
        <v>550</v>
      </c>
      <c r="AC15" s="339">
        <v>550</v>
      </c>
      <c r="AD15" s="350">
        <v>550</v>
      </c>
      <c r="AE15" s="354"/>
      <c r="AF15" s="81"/>
      <c r="AG15" s="81"/>
      <c r="AH15" s="81"/>
      <c r="AI15" s="81"/>
      <c r="AJ15" s="81"/>
      <c r="AK15" s="81"/>
      <c r="AL15" s="81"/>
      <c r="AM15" s="81"/>
      <c r="AN15" s="81"/>
      <c r="AO15" s="81"/>
      <c r="AP15" s="81"/>
      <c r="AQ15" s="81"/>
      <c r="AR15" s="81"/>
      <c r="AS15" s="351"/>
      <c r="AT15" s="355">
        <v>0</v>
      </c>
      <c r="AU15" s="343">
        <v>0</v>
      </c>
      <c r="AV15" s="343">
        <v>0</v>
      </c>
      <c r="AW15" s="343">
        <v>0</v>
      </c>
      <c r="AX15" s="343">
        <v>0</v>
      </c>
      <c r="AY15" s="343">
        <v>0</v>
      </c>
      <c r="AZ15" s="343">
        <v>0</v>
      </c>
      <c r="BA15" s="343">
        <v>0</v>
      </c>
      <c r="BB15" s="343">
        <v>0</v>
      </c>
      <c r="BC15" s="343">
        <v>0</v>
      </c>
      <c r="BD15" s="343">
        <v>0</v>
      </c>
      <c r="BE15" s="343">
        <v>0</v>
      </c>
      <c r="BF15" s="343">
        <v>0</v>
      </c>
      <c r="BG15" s="343">
        <v>0</v>
      </c>
      <c r="BH15" s="343">
        <v>0</v>
      </c>
    </row>
    <row r="16" spans="1:60" hidden="1" x14ac:dyDescent="0.25">
      <c r="A16" s="587" t="s">
        <v>102</v>
      </c>
      <c r="B16" s="587" t="s">
        <v>156</v>
      </c>
      <c r="C16" s="587" t="str">
        <f t="shared" si="0"/>
        <v>MSMississippi Power</v>
      </c>
      <c r="D16" s="588" t="s">
        <v>400</v>
      </c>
      <c r="E16" s="587" t="s">
        <v>181</v>
      </c>
      <c r="F16" s="587" t="str">
        <f t="shared" si="1"/>
        <v>MSMississippi PowerLarge C&amp;I</v>
      </c>
      <c r="G16" s="588">
        <v>30000</v>
      </c>
      <c r="H16" s="589">
        <v>1</v>
      </c>
      <c r="I16" s="588">
        <f>IF('Project Info'!$D$17="",G16,MIN(H16*'Project Info'!$D$17,G16))</f>
        <v>30000</v>
      </c>
      <c r="J16" s="588" t="s">
        <v>471</v>
      </c>
      <c r="K16" s="590" t="s">
        <v>1042</v>
      </c>
      <c r="L16" s="591"/>
      <c r="M16" s="588"/>
      <c r="N16" s="592"/>
      <c r="O16" s="593"/>
      <c r="P16" s="594"/>
      <c r="Q16" s="587"/>
      <c r="R16" s="587"/>
      <c r="S16" s="587"/>
      <c r="T16" s="587"/>
      <c r="U16" s="587"/>
      <c r="V16" s="587"/>
      <c r="W16" s="587"/>
      <c r="X16" s="587"/>
      <c r="Y16" s="587"/>
      <c r="Z16" s="587"/>
      <c r="AA16" s="587"/>
      <c r="AB16" s="587"/>
      <c r="AC16" s="587"/>
      <c r="AD16" s="595"/>
      <c r="AE16" s="594"/>
      <c r="AF16" s="587"/>
      <c r="AG16" s="587"/>
      <c r="AH16" s="587"/>
      <c r="AI16" s="587"/>
      <c r="AJ16" s="587"/>
      <c r="AK16" s="587"/>
      <c r="AL16" s="587"/>
      <c r="AM16" s="587"/>
      <c r="AN16" s="587"/>
      <c r="AO16" s="587"/>
      <c r="AP16" s="587"/>
      <c r="AQ16" s="587"/>
      <c r="AR16" s="587"/>
      <c r="AS16" s="595"/>
      <c r="AT16" s="596">
        <v>0.12</v>
      </c>
      <c r="AU16" s="597">
        <v>0.12</v>
      </c>
      <c r="AV16" s="597">
        <v>0.12</v>
      </c>
      <c r="AW16" s="597">
        <v>0.12</v>
      </c>
      <c r="AX16" s="597">
        <v>0.12</v>
      </c>
      <c r="AY16" s="597">
        <v>0.12</v>
      </c>
      <c r="AZ16" s="597">
        <v>0.12</v>
      </c>
      <c r="BA16" s="597">
        <v>0.12</v>
      </c>
      <c r="BB16" s="597">
        <v>0.12</v>
      </c>
      <c r="BC16" s="597">
        <v>0.12</v>
      </c>
      <c r="BD16" s="597">
        <v>0.12</v>
      </c>
      <c r="BE16" s="597">
        <v>0.12</v>
      </c>
      <c r="BF16" s="597"/>
      <c r="BG16" s="597"/>
      <c r="BH16" s="597"/>
    </row>
    <row r="17" spans="1:60" hidden="1" x14ac:dyDescent="0.25">
      <c r="A17" s="587" t="s">
        <v>102</v>
      </c>
      <c r="B17" s="587" t="s">
        <v>156</v>
      </c>
      <c r="C17" s="587" t="str">
        <f t="shared" ref="C17" si="6">A17&amp;B17</f>
        <v>MSMississippi Power</v>
      </c>
      <c r="D17" s="588" t="s">
        <v>400</v>
      </c>
      <c r="E17" s="587" t="s">
        <v>808</v>
      </c>
      <c r="F17" s="587" t="str">
        <f t="shared" si="1"/>
        <v>MSMississippi PowerSmall Business</v>
      </c>
      <c r="G17" s="588">
        <v>999999</v>
      </c>
      <c r="H17" s="589">
        <v>0.9</v>
      </c>
      <c r="I17" s="588">
        <f>IF('Project Info'!$D$17="",G17,MIN(H17*'Project Info'!$D$17,G17))</f>
        <v>999999</v>
      </c>
      <c r="J17" s="588" t="s">
        <v>471</v>
      </c>
      <c r="K17" s="590" t="s">
        <v>1042</v>
      </c>
      <c r="L17" s="591"/>
      <c r="M17" s="588"/>
      <c r="N17" s="592"/>
      <c r="O17" s="593"/>
      <c r="P17" s="594"/>
      <c r="Q17" s="587"/>
      <c r="R17" s="587"/>
      <c r="S17" s="587"/>
      <c r="T17" s="587"/>
      <c r="U17" s="587"/>
      <c r="V17" s="587"/>
      <c r="W17" s="587"/>
      <c r="X17" s="587"/>
      <c r="Y17" s="587"/>
      <c r="Z17" s="587"/>
      <c r="AA17" s="587"/>
      <c r="AB17" s="587"/>
      <c r="AC17" s="587"/>
      <c r="AD17" s="595"/>
      <c r="AE17" s="594"/>
      <c r="AF17" s="587"/>
      <c r="AG17" s="587"/>
      <c r="AH17" s="587"/>
      <c r="AI17" s="587"/>
      <c r="AJ17" s="587"/>
      <c r="AK17" s="587"/>
      <c r="AL17" s="587"/>
      <c r="AM17" s="587"/>
      <c r="AN17" s="587"/>
      <c r="AO17" s="587"/>
      <c r="AP17" s="587"/>
      <c r="AQ17" s="587"/>
      <c r="AR17" s="587"/>
      <c r="AS17" s="595"/>
      <c r="AT17" s="596">
        <v>0.16</v>
      </c>
      <c r="AU17" s="597">
        <v>0.16</v>
      </c>
      <c r="AV17" s="597">
        <v>0.16</v>
      </c>
      <c r="AW17" s="597">
        <v>0.16</v>
      </c>
      <c r="AX17" s="597">
        <v>0.16</v>
      </c>
      <c r="AY17" s="597">
        <v>0.16</v>
      </c>
      <c r="AZ17" s="597">
        <v>0.16</v>
      </c>
      <c r="BA17" s="597">
        <v>0.16</v>
      </c>
      <c r="BB17" s="597">
        <v>0.16</v>
      </c>
      <c r="BC17" s="597">
        <v>0.16</v>
      </c>
      <c r="BD17" s="597">
        <v>0.16</v>
      </c>
      <c r="BE17" s="597">
        <v>0.16</v>
      </c>
      <c r="BF17" s="597"/>
      <c r="BG17" s="597"/>
      <c r="BH17" s="597"/>
    </row>
    <row r="18" spans="1:60" hidden="1" x14ac:dyDescent="0.25">
      <c r="A18" s="81" t="s">
        <v>254</v>
      </c>
      <c r="B18" s="81" t="s">
        <v>396</v>
      </c>
      <c r="C18" s="81" t="str">
        <f t="shared" si="0"/>
        <v>OKOklahoma Gas &amp; Electric</v>
      </c>
      <c r="D18" s="339" t="s">
        <v>412</v>
      </c>
      <c r="E18" s="81" t="s">
        <v>181</v>
      </c>
      <c r="F18" s="81" t="str">
        <f t="shared" si="1"/>
        <v>OKOklahoma Gas &amp; ElectricLarge C&amp;I</v>
      </c>
      <c r="G18" s="339">
        <v>999999</v>
      </c>
      <c r="H18" s="341">
        <v>0.5</v>
      </c>
      <c r="I18" s="339">
        <f>IF('Project Info'!$D$17="",G18,MIN(H18*'Project Info'!$D$17,G18))</f>
        <v>999999</v>
      </c>
      <c r="J18" s="339" t="s">
        <v>471</v>
      </c>
      <c r="K18" s="350" t="s">
        <v>1488</v>
      </c>
      <c r="L18" s="352"/>
      <c r="M18" s="339"/>
      <c r="N18" s="342"/>
      <c r="O18" s="349"/>
      <c r="P18" s="354"/>
      <c r="Q18" s="81"/>
      <c r="R18" s="81"/>
      <c r="S18" s="81"/>
      <c r="T18" s="81"/>
      <c r="U18" s="81"/>
      <c r="V18" s="81"/>
      <c r="W18" s="81"/>
      <c r="X18" s="81"/>
      <c r="Y18" s="81"/>
      <c r="Z18" s="81"/>
      <c r="AA18" s="81"/>
      <c r="AB18" s="81"/>
      <c r="AC18" s="81"/>
      <c r="AD18" s="351"/>
      <c r="AE18" s="354"/>
      <c r="AF18" s="81"/>
      <c r="AG18" s="81"/>
      <c r="AH18" s="81"/>
      <c r="AI18" s="81"/>
      <c r="AJ18" s="81"/>
      <c r="AK18" s="81"/>
      <c r="AL18" s="81"/>
      <c r="AM18" s="81"/>
      <c r="AN18" s="81"/>
      <c r="AO18" s="81"/>
      <c r="AP18" s="81"/>
      <c r="AQ18" s="81"/>
      <c r="AR18" s="81"/>
      <c r="AS18" s="351"/>
      <c r="AT18" s="355">
        <v>0.09</v>
      </c>
      <c r="AU18" s="343">
        <v>0.09</v>
      </c>
      <c r="AV18" s="343">
        <v>0.09</v>
      </c>
      <c r="AW18" s="343">
        <v>0.09</v>
      </c>
      <c r="AX18" s="343">
        <v>0.09</v>
      </c>
      <c r="AY18" s="343">
        <v>0.09</v>
      </c>
      <c r="AZ18" s="343">
        <v>0.09</v>
      </c>
      <c r="BA18" s="343">
        <v>0.09</v>
      </c>
      <c r="BB18" s="343"/>
      <c r="BC18" s="343"/>
      <c r="BD18" s="343"/>
      <c r="BE18" s="343"/>
      <c r="BF18" s="343"/>
      <c r="BG18" s="343">
        <v>0.11</v>
      </c>
      <c r="BH18" s="343">
        <v>0.11</v>
      </c>
    </row>
    <row r="19" spans="1:60" hidden="1" x14ac:dyDescent="0.25">
      <c r="A19" s="81" t="s">
        <v>254</v>
      </c>
      <c r="B19" s="81" t="s">
        <v>396</v>
      </c>
      <c r="C19" s="81" t="str">
        <f t="shared" si="0"/>
        <v>OKOklahoma Gas &amp; Electric</v>
      </c>
      <c r="D19" s="339" t="s">
        <v>412</v>
      </c>
      <c r="E19" s="81" t="s">
        <v>323</v>
      </c>
      <c r="F19" s="81" t="str">
        <f t="shared" si="1"/>
        <v>OKOklahoma Gas &amp; ElectricSchools &amp; Govt</v>
      </c>
      <c r="G19" s="339">
        <v>999999</v>
      </c>
      <c r="H19" s="341">
        <v>0.9</v>
      </c>
      <c r="I19" s="339">
        <f>IF('Project Info'!$D$17="",G19,MIN(H19*'Project Info'!$D$17,G19))</f>
        <v>999999</v>
      </c>
      <c r="J19" s="339" t="s">
        <v>471</v>
      </c>
      <c r="K19" s="350" t="s">
        <v>1488</v>
      </c>
      <c r="L19" s="352"/>
      <c r="M19" s="339"/>
      <c r="N19" s="342"/>
      <c r="O19" s="349"/>
      <c r="P19" s="354"/>
      <c r="Q19" s="81"/>
      <c r="R19" s="81"/>
      <c r="S19" s="81"/>
      <c r="T19" s="81"/>
      <c r="U19" s="81"/>
      <c r="V19" s="81"/>
      <c r="W19" s="81"/>
      <c r="X19" s="81"/>
      <c r="Y19" s="81"/>
      <c r="Z19" s="81"/>
      <c r="AA19" s="81"/>
      <c r="AB19" s="81"/>
      <c r="AC19" s="81"/>
      <c r="AD19" s="351"/>
      <c r="AE19" s="354"/>
      <c r="AF19" s="81"/>
      <c r="AG19" s="81"/>
      <c r="AH19" s="81"/>
      <c r="AI19" s="81"/>
      <c r="AJ19" s="81"/>
      <c r="AK19" s="81"/>
      <c r="AL19" s="81"/>
      <c r="AM19" s="81"/>
      <c r="AN19" s="81"/>
      <c r="AO19" s="81"/>
      <c r="AP19" s="81"/>
      <c r="AQ19" s="81"/>
      <c r="AR19" s="81"/>
      <c r="AS19" s="351"/>
      <c r="AT19" s="355">
        <v>0.14000000000000001</v>
      </c>
      <c r="AU19" s="343">
        <v>0.14000000000000001</v>
      </c>
      <c r="AV19" s="343">
        <v>0.14000000000000001</v>
      </c>
      <c r="AW19" s="343">
        <v>0.14000000000000001</v>
      </c>
      <c r="AX19" s="343">
        <v>0.14000000000000001</v>
      </c>
      <c r="AY19" s="343">
        <v>0.14000000000000001</v>
      </c>
      <c r="AZ19" s="343">
        <v>0.14000000000000001</v>
      </c>
      <c r="BA19" s="343">
        <v>0.14000000000000001</v>
      </c>
      <c r="BB19" s="343"/>
      <c r="BC19" s="343"/>
      <c r="BD19" s="343"/>
      <c r="BE19" s="343"/>
      <c r="BF19" s="343"/>
      <c r="BG19" s="343">
        <v>0.11</v>
      </c>
      <c r="BH19" s="343">
        <v>0.11</v>
      </c>
    </row>
    <row r="20" spans="1:60" hidden="1" x14ac:dyDescent="0.25">
      <c r="A20" s="81" t="s">
        <v>254</v>
      </c>
      <c r="B20" s="81" t="s">
        <v>396</v>
      </c>
      <c r="C20" s="81" t="str">
        <f t="shared" ref="C20:C21" si="7">A20&amp;B20</f>
        <v>OKOklahoma Gas &amp; Electric</v>
      </c>
      <c r="D20" s="339" t="s">
        <v>412</v>
      </c>
      <c r="E20" s="81" t="s">
        <v>808</v>
      </c>
      <c r="F20" s="81" t="str">
        <f t="shared" si="1"/>
        <v>OKOklahoma Gas &amp; ElectricSmall Business</v>
      </c>
      <c r="G20" s="339">
        <v>999999</v>
      </c>
      <c r="H20" s="341">
        <v>0.9</v>
      </c>
      <c r="I20" s="339">
        <f>IF('Project Info'!$D$17="",G20,MIN(H20*'Project Info'!$D$17,G20))</f>
        <v>999999</v>
      </c>
      <c r="J20" s="339" t="s">
        <v>471</v>
      </c>
      <c r="K20" s="350" t="s">
        <v>1488</v>
      </c>
      <c r="L20" s="352"/>
      <c r="M20" s="339"/>
      <c r="N20" s="342"/>
      <c r="O20" s="349"/>
      <c r="P20" s="354"/>
      <c r="Q20" s="81"/>
      <c r="R20" s="81"/>
      <c r="S20" s="81"/>
      <c r="T20" s="81"/>
      <c r="U20" s="81"/>
      <c r="V20" s="81"/>
      <c r="W20" s="81"/>
      <c r="X20" s="81"/>
      <c r="Y20" s="81"/>
      <c r="Z20" s="81"/>
      <c r="AA20" s="81"/>
      <c r="AB20" s="81"/>
      <c r="AC20" s="81"/>
      <c r="AD20" s="351"/>
      <c r="AE20" s="354"/>
      <c r="AF20" s="81"/>
      <c r="AG20" s="81"/>
      <c r="AH20" s="81"/>
      <c r="AI20" s="81"/>
      <c r="AJ20" s="81"/>
      <c r="AK20" s="81"/>
      <c r="AL20" s="81"/>
      <c r="AM20" s="81"/>
      <c r="AN20" s="81"/>
      <c r="AO20" s="81"/>
      <c r="AP20" s="81"/>
      <c r="AQ20" s="81"/>
      <c r="AR20" s="81"/>
      <c r="AS20" s="351"/>
      <c r="AT20" s="355">
        <v>0.09</v>
      </c>
      <c r="AU20" s="343">
        <v>0.09</v>
      </c>
      <c r="AV20" s="343">
        <v>0.09</v>
      </c>
      <c r="AW20" s="343">
        <v>0.09</v>
      </c>
      <c r="AX20" s="343">
        <v>0.09</v>
      </c>
      <c r="AY20" s="343">
        <v>0.09</v>
      </c>
      <c r="AZ20" s="343">
        <v>0.09</v>
      </c>
      <c r="BA20" s="343">
        <v>0.09</v>
      </c>
      <c r="BB20" s="343"/>
      <c r="BC20" s="343"/>
      <c r="BD20" s="343"/>
      <c r="BE20" s="343"/>
      <c r="BF20" s="343"/>
      <c r="BG20" s="343">
        <v>0.11</v>
      </c>
      <c r="BH20" s="343">
        <v>0.11</v>
      </c>
    </row>
    <row r="21" spans="1:60" hidden="1" x14ac:dyDescent="0.25">
      <c r="A21" s="81" t="s">
        <v>410</v>
      </c>
      <c r="B21" s="81" t="s">
        <v>396</v>
      </c>
      <c r="C21" s="81" t="str">
        <f t="shared" si="7"/>
        <v>AROklahoma Gas &amp; Electric</v>
      </c>
      <c r="D21" s="339" t="s">
        <v>413</v>
      </c>
      <c r="E21" s="81" t="s">
        <v>808</v>
      </c>
      <c r="F21" s="81" t="str">
        <f t="shared" si="1"/>
        <v>AROklahoma Gas &amp; ElectricSmall Business</v>
      </c>
      <c r="G21" s="339">
        <v>999999</v>
      </c>
      <c r="H21" s="341">
        <v>0.9</v>
      </c>
      <c r="I21" s="339">
        <f>IF('Project Info'!$D$17="",G21,MIN(H21*'Project Info'!$D$17,G21))</f>
        <v>999999</v>
      </c>
      <c r="J21" s="339" t="s">
        <v>471</v>
      </c>
      <c r="K21" s="350" t="s">
        <v>1488</v>
      </c>
      <c r="L21" s="352"/>
      <c r="M21" s="339"/>
      <c r="N21" s="342"/>
      <c r="O21" s="349"/>
      <c r="P21" s="354"/>
      <c r="Q21" s="81"/>
      <c r="R21" s="81"/>
      <c r="S21" s="81"/>
      <c r="T21" s="81"/>
      <c r="U21" s="81"/>
      <c r="V21" s="81"/>
      <c r="W21" s="81"/>
      <c r="X21" s="81"/>
      <c r="Y21" s="81"/>
      <c r="Z21" s="81"/>
      <c r="AA21" s="81"/>
      <c r="AB21" s="81"/>
      <c r="AC21" s="81"/>
      <c r="AD21" s="351"/>
      <c r="AE21" s="354"/>
      <c r="AF21" s="81"/>
      <c r="AG21" s="81"/>
      <c r="AH21" s="81"/>
      <c r="AI21" s="81"/>
      <c r="AJ21" s="81"/>
      <c r="AK21" s="81"/>
      <c r="AL21" s="81"/>
      <c r="AM21" s="81"/>
      <c r="AN21" s="81"/>
      <c r="AO21" s="81"/>
      <c r="AP21" s="81"/>
      <c r="AQ21" s="81"/>
      <c r="AR21" s="81"/>
      <c r="AS21" s="351"/>
      <c r="AT21" s="355">
        <v>0.16</v>
      </c>
      <c r="AU21" s="343">
        <v>0.16</v>
      </c>
      <c r="AV21" s="343">
        <v>0.16</v>
      </c>
      <c r="AW21" s="343">
        <v>0.16</v>
      </c>
      <c r="AX21" s="343">
        <v>0.16</v>
      </c>
      <c r="AY21" s="343">
        <v>0.16</v>
      </c>
      <c r="AZ21" s="343">
        <v>0.16</v>
      </c>
      <c r="BA21" s="343">
        <v>0.16</v>
      </c>
      <c r="BB21" s="343"/>
      <c r="BC21" s="343"/>
      <c r="BD21" s="343"/>
      <c r="BE21" s="343"/>
      <c r="BF21" s="343"/>
      <c r="BG21" s="343"/>
      <c r="BH21" s="343"/>
    </row>
    <row r="22" spans="1:60" hidden="1" x14ac:dyDescent="0.25">
      <c r="A22" s="81" t="s">
        <v>410</v>
      </c>
      <c r="B22" s="81" t="s">
        <v>396</v>
      </c>
      <c r="C22" s="81" t="str">
        <f t="shared" si="0"/>
        <v>AROklahoma Gas &amp; Electric</v>
      </c>
      <c r="D22" s="339" t="s">
        <v>413</v>
      </c>
      <c r="E22" s="81" t="s">
        <v>462</v>
      </c>
      <c r="F22" s="81" t="str">
        <f t="shared" si="1"/>
        <v>AROklahoma Gas &amp; ElectricCommercial Standard Offer Program</v>
      </c>
      <c r="G22" s="339">
        <v>999999</v>
      </c>
      <c r="H22" s="341">
        <v>0.8</v>
      </c>
      <c r="I22" s="339">
        <f>IF('Project Info'!$D$17="",G22,MIN(H22*'Project Info'!$D$17,G22))</f>
        <v>999999</v>
      </c>
      <c r="J22" s="339" t="s">
        <v>471</v>
      </c>
      <c r="K22" s="350" t="s">
        <v>1488</v>
      </c>
      <c r="L22" s="352"/>
      <c r="M22" s="339"/>
      <c r="N22" s="342"/>
      <c r="O22" s="349"/>
      <c r="P22" s="354"/>
      <c r="Q22" s="81"/>
      <c r="R22" s="81"/>
      <c r="S22" s="81"/>
      <c r="T22" s="81"/>
      <c r="U22" s="81"/>
      <c r="V22" s="81"/>
      <c r="W22" s="81"/>
      <c r="X22" s="81"/>
      <c r="Y22" s="81"/>
      <c r="Z22" s="81"/>
      <c r="AA22" s="81"/>
      <c r="AB22" s="81"/>
      <c r="AC22" s="81"/>
      <c r="AD22" s="351"/>
      <c r="AE22" s="354"/>
      <c r="AF22" s="81"/>
      <c r="AG22" s="81"/>
      <c r="AH22" s="81"/>
      <c r="AI22" s="81"/>
      <c r="AJ22" s="81"/>
      <c r="AK22" s="81"/>
      <c r="AL22" s="81"/>
      <c r="AM22" s="81"/>
      <c r="AN22" s="81"/>
      <c r="AO22" s="81"/>
      <c r="AP22" s="81"/>
      <c r="AQ22" s="81"/>
      <c r="AR22" s="81"/>
      <c r="AS22" s="351"/>
      <c r="AT22" s="355">
        <v>0.14000000000000001</v>
      </c>
      <c r="AU22" s="343">
        <v>0.14000000000000001</v>
      </c>
      <c r="AV22" s="343">
        <v>0.14000000000000001</v>
      </c>
      <c r="AW22" s="343">
        <v>0.14000000000000001</v>
      </c>
      <c r="AX22" s="343">
        <v>0.14000000000000001</v>
      </c>
      <c r="AY22" s="343">
        <v>0.14000000000000001</v>
      </c>
      <c r="AZ22" s="343">
        <v>0.14000000000000001</v>
      </c>
      <c r="BA22" s="343">
        <v>0.14000000000000001</v>
      </c>
      <c r="BB22" s="343"/>
      <c r="BC22" s="343"/>
      <c r="BD22" s="343"/>
      <c r="BE22" s="343"/>
      <c r="BF22" s="343"/>
      <c r="BG22" s="343"/>
      <c r="BH22" s="343"/>
    </row>
    <row r="24" spans="1:60" x14ac:dyDescent="0.25">
      <c r="A24" s="1" t="s">
        <v>103</v>
      </c>
      <c r="B24" s="1" t="s">
        <v>102</v>
      </c>
      <c r="C24" s="1" t="s">
        <v>410</v>
      </c>
      <c r="D24" s="1" t="s">
        <v>254</v>
      </c>
      <c r="E24" s="1" t="s">
        <v>467</v>
      </c>
    </row>
    <row r="25" spans="1:60" x14ac:dyDescent="0.25">
      <c r="A25" s="1" t="s">
        <v>153</v>
      </c>
      <c r="B25" s="1" t="s">
        <v>156</v>
      </c>
      <c r="C25" s="1" t="s">
        <v>396</v>
      </c>
      <c r="D25" s="1" t="s">
        <v>396</v>
      </c>
      <c r="E25" s="1" t="s">
        <v>468</v>
      </c>
    </row>
    <row r="26" spans="1:60" x14ac:dyDescent="0.25">
      <c r="A26" s="1" t="s">
        <v>155</v>
      </c>
    </row>
    <row r="27" spans="1:60" x14ac:dyDescent="0.25">
      <c r="A27" s="1" t="s">
        <v>154</v>
      </c>
    </row>
    <row r="28" spans="1:60" x14ac:dyDescent="0.25">
      <c r="A28" s="1" t="s">
        <v>169</v>
      </c>
    </row>
    <row r="29" spans="1:60" x14ac:dyDescent="0.25">
      <c r="A29" s="1" t="s">
        <v>157</v>
      </c>
    </row>
    <row r="50" spans="2:3" x14ac:dyDescent="0.25">
      <c r="B50" s="143" t="s">
        <v>1028</v>
      </c>
      <c r="C50" s="403"/>
    </row>
    <row r="51" spans="2:3" x14ac:dyDescent="0.25">
      <c r="B51" s="404" t="s">
        <v>1029</v>
      </c>
      <c r="C51" s="405"/>
    </row>
    <row r="52" spans="2:3" x14ac:dyDescent="0.25">
      <c r="B52" s="404" t="s">
        <v>1030</v>
      </c>
      <c r="C52" s="405"/>
    </row>
    <row r="53" spans="2:3" x14ac:dyDescent="0.25">
      <c r="B53" s="404" t="s">
        <v>1031</v>
      </c>
      <c r="C53" s="406" t="b">
        <v>1</v>
      </c>
    </row>
  </sheetData>
  <pageMargins left="0.7" right="0.7" top="0.75" bottom="0.75" header="0.3" footer="0.3"/>
  <pageSetup orientation="portrait" horizontalDpi="1200" verticalDpi="12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4">
    <tabColor rgb="FFC00000"/>
  </sheetPr>
  <dimension ref="A2:G178"/>
  <sheetViews>
    <sheetView workbookViewId="0">
      <pane ySplit="4" topLeftCell="A165" activePane="bottomLeft" state="frozen"/>
      <selection pane="bottomLeft" activeCell="D163" sqref="D163:E169"/>
    </sheetView>
  </sheetViews>
  <sheetFormatPr defaultColWidth="10" defaultRowHeight="15" x14ac:dyDescent="0.25"/>
  <cols>
    <col min="1" max="1" width="4.28515625" style="377" customWidth="1"/>
    <col min="2" max="2" width="10.140625" style="377" customWidth="1"/>
    <col min="3" max="3" width="14" style="378" customWidth="1"/>
    <col min="4" max="4" width="30.5703125" style="377" customWidth="1"/>
    <col min="5" max="5" width="68" style="379" customWidth="1"/>
    <col min="6" max="6" width="20" style="377" bestFit="1" customWidth="1"/>
    <col min="7" max="7" width="21.7109375" style="1" bestFit="1" customWidth="1"/>
    <col min="8" max="16384" width="10" style="1"/>
  </cols>
  <sheetData>
    <row r="2" spans="1:7" ht="20.25" x14ac:dyDescent="0.25">
      <c r="B2" s="963" t="s">
        <v>1014</v>
      </c>
      <c r="C2" s="963"/>
      <c r="D2" s="963"/>
      <c r="E2" s="963"/>
      <c r="F2" s="963"/>
    </row>
    <row r="4" spans="1:7" s="340" customFormat="1" ht="30" x14ac:dyDescent="0.25">
      <c r="A4" s="380"/>
      <c r="B4" s="381" t="s">
        <v>1015</v>
      </c>
      <c r="C4" s="382" t="s">
        <v>204</v>
      </c>
      <c r="D4" s="383" t="s">
        <v>1016</v>
      </c>
      <c r="E4" s="384" t="s">
        <v>1017</v>
      </c>
      <c r="F4" s="385" t="s">
        <v>1504</v>
      </c>
      <c r="G4" s="670" t="s">
        <v>1505</v>
      </c>
    </row>
    <row r="5" spans="1:7" ht="28.5" hidden="1" customHeight="1" x14ac:dyDescent="0.25">
      <c r="B5" s="23"/>
      <c r="C5" s="386"/>
      <c r="D5" s="386"/>
      <c r="E5" s="387" t="s">
        <v>97</v>
      </c>
      <c r="F5" s="666" t="s">
        <v>1013</v>
      </c>
      <c r="G5" s="666"/>
    </row>
    <row r="6" spans="1:7" ht="36" hidden="1" customHeight="1" x14ac:dyDescent="0.25">
      <c r="B6" s="23"/>
      <c r="C6" s="386"/>
      <c r="D6" s="388"/>
      <c r="E6" s="387" t="s">
        <v>83</v>
      </c>
      <c r="F6" s="666"/>
      <c r="G6" s="666"/>
    </row>
    <row r="7" spans="1:7" ht="28.5" hidden="1" customHeight="1" x14ac:dyDescent="0.25">
      <c r="B7" s="23"/>
      <c r="C7" s="386"/>
      <c r="D7" s="388"/>
      <c r="E7" s="387" t="s">
        <v>84</v>
      </c>
      <c r="F7" s="666"/>
      <c r="G7" s="666"/>
    </row>
    <row r="8" spans="1:7" ht="28.5" hidden="1" customHeight="1" x14ac:dyDescent="0.25">
      <c r="B8" s="23"/>
      <c r="C8" s="386"/>
      <c r="D8" s="388"/>
      <c r="E8" s="387" t="s">
        <v>85</v>
      </c>
      <c r="F8" s="666"/>
      <c r="G8" s="666"/>
    </row>
    <row r="9" spans="1:7" ht="28.5" hidden="1" customHeight="1" x14ac:dyDescent="0.25">
      <c r="B9" s="23"/>
      <c r="C9" s="386"/>
      <c r="D9" s="388"/>
      <c r="E9" s="387" t="s">
        <v>86</v>
      </c>
      <c r="F9" s="666"/>
      <c r="G9" s="666"/>
    </row>
    <row r="10" spans="1:7" ht="28.5" hidden="1" customHeight="1" x14ac:dyDescent="0.25">
      <c r="B10" s="23"/>
      <c r="C10" s="386"/>
      <c r="D10" s="388"/>
      <c r="E10" s="387" t="s">
        <v>87</v>
      </c>
      <c r="F10" s="666"/>
      <c r="G10" s="666"/>
    </row>
    <row r="11" spans="1:7" ht="28.5" hidden="1" customHeight="1" x14ac:dyDescent="0.25">
      <c r="B11" s="23"/>
      <c r="C11" s="386"/>
      <c r="D11" s="388"/>
      <c r="E11" s="387" t="s">
        <v>88</v>
      </c>
      <c r="F11" s="666"/>
      <c r="G11" s="666"/>
    </row>
    <row r="12" spans="1:7" ht="28.5" hidden="1" customHeight="1" x14ac:dyDescent="0.25">
      <c r="B12" s="23"/>
      <c r="C12" s="386"/>
      <c r="D12" s="388"/>
      <c r="E12" s="387" t="s">
        <v>89</v>
      </c>
      <c r="F12" s="666"/>
      <c r="G12" s="666"/>
    </row>
    <row r="13" spans="1:7" ht="28.5" hidden="1" customHeight="1" x14ac:dyDescent="0.25">
      <c r="B13" s="23"/>
      <c r="C13" s="386"/>
      <c r="D13" s="388"/>
      <c r="E13" s="387" t="s">
        <v>90</v>
      </c>
      <c r="F13" s="666"/>
      <c r="G13" s="666"/>
    </row>
    <row r="14" spans="1:7" ht="28.5" hidden="1" customHeight="1" x14ac:dyDescent="0.25">
      <c r="B14" s="23"/>
      <c r="C14" s="386"/>
      <c r="D14" s="388"/>
      <c r="E14" s="387" t="s">
        <v>91</v>
      </c>
      <c r="F14" s="666"/>
      <c r="G14" s="666"/>
    </row>
    <row r="15" spans="1:7" ht="28.5" hidden="1" customHeight="1" x14ac:dyDescent="0.25">
      <c r="B15" s="23"/>
      <c r="C15" s="386"/>
      <c r="D15" s="388"/>
      <c r="E15" s="387" t="s">
        <v>92</v>
      </c>
      <c r="F15" s="666"/>
      <c r="G15" s="666"/>
    </row>
    <row r="16" spans="1:7" ht="28.5" hidden="1" customHeight="1" x14ac:dyDescent="0.25">
      <c r="B16" s="23"/>
      <c r="C16" s="386"/>
      <c r="D16" s="388"/>
      <c r="E16" s="387" t="s">
        <v>93</v>
      </c>
      <c r="F16" s="666"/>
      <c r="G16" s="666"/>
    </row>
    <row r="17" spans="2:7" ht="28.5" hidden="1" customHeight="1" x14ac:dyDescent="0.25">
      <c r="B17" s="23"/>
      <c r="C17" s="386"/>
      <c r="D17" s="388"/>
      <c r="E17" s="387" t="s">
        <v>94</v>
      </c>
      <c r="F17" s="666"/>
      <c r="G17" s="666"/>
    </row>
    <row r="18" spans="2:7" ht="28.5" hidden="1" customHeight="1" x14ac:dyDescent="0.25">
      <c r="B18" s="23"/>
      <c r="C18" s="386"/>
      <c r="D18" s="388"/>
      <c r="E18" s="387" t="s">
        <v>98</v>
      </c>
      <c r="F18" s="666"/>
      <c r="G18" s="666"/>
    </row>
    <row r="19" spans="2:7" ht="28.5" hidden="1" customHeight="1" x14ac:dyDescent="0.25">
      <c r="B19" s="23"/>
      <c r="C19" s="386"/>
      <c r="D19" s="388"/>
      <c r="E19" s="387" t="s">
        <v>99</v>
      </c>
      <c r="F19" s="666"/>
      <c r="G19" s="666"/>
    </row>
    <row r="20" spans="2:7" ht="28.5" hidden="1" customHeight="1" x14ac:dyDescent="0.25">
      <c r="B20" s="23"/>
      <c r="C20" s="386"/>
      <c r="D20" s="388"/>
      <c r="E20" s="387" t="s">
        <v>95</v>
      </c>
      <c r="F20" s="666"/>
      <c r="G20" s="666"/>
    </row>
    <row r="21" spans="2:7" ht="28.5" hidden="1" customHeight="1" x14ac:dyDescent="0.25">
      <c r="B21" s="389"/>
      <c r="C21" s="390"/>
      <c r="D21" s="391"/>
      <c r="E21" s="392" t="s">
        <v>96</v>
      </c>
      <c r="F21" s="667"/>
      <c r="G21" s="667"/>
    </row>
    <row r="22" spans="2:7" hidden="1" x14ac:dyDescent="0.25">
      <c r="B22" s="23"/>
      <c r="C22" s="386"/>
      <c r="D22" s="386"/>
      <c r="E22" s="387"/>
      <c r="F22" s="666"/>
      <c r="G22" s="666"/>
    </row>
    <row r="23" spans="2:7" hidden="1" x14ac:dyDescent="0.25">
      <c r="B23" s="23"/>
      <c r="C23" s="386"/>
      <c r="D23" s="388"/>
      <c r="E23" s="387" t="s">
        <v>146</v>
      </c>
      <c r="F23" s="666"/>
      <c r="G23" s="666"/>
    </row>
    <row r="24" spans="2:7" hidden="1" x14ac:dyDescent="0.25">
      <c r="B24" s="23"/>
      <c r="C24" s="386"/>
      <c r="D24" s="388"/>
      <c r="E24" s="387" t="s">
        <v>147</v>
      </c>
      <c r="F24" s="666"/>
      <c r="G24" s="666"/>
    </row>
    <row r="25" spans="2:7" hidden="1" x14ac:dyDescent="0.25">
      <c r="B25" s="23"/>
      <c r="C25" s="386"/>
      <c r="D25" s="388"/>
      <c r="E25" s="387" t="s">
        <v>148</v>
      </c>
      <c r="F25" s="666"/>
      <c r="G25" s="666"/>
    </row>
    <row r="26" spans="2:7" hidden="1" x14ac:dyDescent="0.25">
      <c r="B26" s="23"/>
      <c r="C26" s="386"/>
      <c r="D26" s="388"/>
      <c r="E26" s="387" t="s">
        <v>160</v>
      </c>
      <c r="F26" s="666"/>
      <c r="G26" s="666"/>
    </row>
    <row r="27" spans="2:7" hidden="1" x14ac:dyDescent="0.25">
      <c r="B27" s="23"/>
      <c r="C27" s="386"/>
      <c r="D27" s="388"/>
      <c r="E27" s="387" t="s">
        <v>159</v>
      </c>
      <c r="F27" s="666"/>
      <c r="G27" s="666"/>
    </row>
    <row r="28" spans="2:7" hidden="1" x14ac:dyDescent="0.25">
      <c r="B28" s="23"/>
      <c r="C28" s="386"/>
      <c r="D28" s="388"/>
      <c r="E28" s="387" t="s">
        <v>161</v>
      </c>
      <c r="F28" s="666"/>
      <c r="G28" s="666"/>
    </row>
    <row r="29" spans="2:7" hidden="1" x14ac:dyDescent="0.25">
      <c r="B29" s="23"/>
      <c r="C29" s="386"/>
      <c r="D29" s="388"/>
      <c r="E29" s="387" t="s">
        <v>163</v>
      </c>
      <c r="F29" s="666"/>
      <c r="G29" s="666"/>
    </row>
    <row r="30" spans="2:7" hidden="1" x14ac:dyDescent="0.25">
      <c r="B30" s="23"/>
      <c r="C30" s="386"/>
      <c r="D30" s="388"/>
      <c r="E30" s="387" t="s">
        <v>164</v>
      </c>
      <c r="F30" s="666"/>
      <c r="G30" s="666"/>
    </row>
    <row r="31" spans="2:7" ht="30" hidden="1" x14ac:dyDescent="0.25">
      <c r="B31" s="23"/>
      <c r="C31" s="386"/>
      <c r="D31" s="388"/>
      <c r="E31" s="387" t="s">
        <v>165</v>
      </c>
      <c r="F31" s="666"/>
      <c r="G31" s="666"/>
    </row>
    <row r="32" spans="2:7" hidden="1" x14ac:dyDescent="0.25">
      <c r="B32" s="23"/>
      <c r="C32" s="386"/>
      <c r="D32" s="388"/>
      <c r="E32" s="387" t="s">
        <v>167</v>
      </c>
      <c r="F32" s="666"/>
      <c r="G32" s="666"/>
    </row>
    <row r="33" spans="2:7" hidden="1" x14ac:dyDescent="0.25">
      <c r="B33" s="23"/>
      <c r="C33" s="386">
        <v>42249</v>
      </c>
      <c r="D33" s="388"/>
      <c r="E33" s="387" t="s">
        <v>170</v>
      </c>
      <c r="F33" s="666"/>
      <c r="G33" s="666"/>
    </row>
    <row r="34" spans="2:7" hidden="1" x14ac:dyDescent="0.25">
      <c r="B34" s="23"/>
      <c r="C34" s="386"/>
      <c r="D34" s="388"/>
      <c r="E34" s="387" t="s">
        <v>171</v>
      </c>
      <c r="F34" s="666"/>
      <c r="G34" s="666"/>
    </row>
    <row r="35" spans="2:7" hidden="1" x14ac:dyDescent="0.25">
      <c r="B35" s="23"/>
      <c r="C35" s="386">
        <v>42261</v>
      </c>
      <c r="D35" s="388"/>
      <c r="E35" s="387" t="s">
        <v>172</v>
      </c>
      <c r="F35" s="666"/>
      <c r="G35" s="666"/>
    </row>
    <row r="36" spans="2:7" hidden="1" x14ac:dyDescent="0.25">
      <c r="B36" s="23"/>
      <c r="C36" s="386"/>
      <c r="D36" s="388"/>
      <c r="E36" s="387" t="s">
        <v>173</v>
      </c>
      <c r="F36" s="666"/>
      <c r="G36" s="666"/>
    </row>
    <row r="37" spans="2:7" hidden="1" x14ac:dyDescent="0.25">
      <c r="B37" s="23"/>
      <c r="C37" s="386"/>
      <c r="D37" s="388"/>
      <c r="E37" s="387" t="s">
        <v>174</v>
      </c>
      <c r="F37" s="666"/>
      <c r="G37" s="666"/>
    </row>
    <row r="38" spans="2:7" hidden="1" x14ac:dyDescent="0.25">
      <c r="B38" s="389"/>
      <c r="C38" s="390">
        <v>42275</v>
      </c>
      <c r="D38" s="391"/>
      <c r="E38" s="392" t="s">
        <v>175</v>
      </c>
      <c r="F38" s="667"/>
      <c r="G38" s="667"/>
    </row>
    <row r="39" spans="2:7" hidden="1" x14ac:dyDescent="0.25">
      <c r="B39" s="23"/>
      <c r="C39" s="386">
        <v>42276</v>
      </c>
      <c r="D39" s="386"/>
      <c r="E39" s="387" t="s">
        <v>176</v>
      </c>
      <c r="F39" s="666"/>
      <c r="G39" s="666"/>
    </row>
    <row r="40" spans="2:7" hidden="1" x14ac:dyDescent="0.25">
      <c r="B40" s="23"/>
      <c r="C40" s="386">
        <v>42383</v>
      </c>
      <c r="D40" s="388"/>
      <c r="E40" s="387" t="s">
        <v>330</v>
      </c>
      <c r="F40" s="666"/>
      <c r="G40" s="666"/>
    </row>
    <row r="41" spans="2:7" hidden="1" x14ac:dyDescent="0.25">
      <c r="B41" s="23"/>
      <c r="C41" s="386"/>
      <c r="D41" s="388"/>
      <c r="E41" s="387" t="s">
        <v>327</v>
      </c>
      <c r="F41" s="666"/>
      <c r="G41" s="666"/>
    </row>
    <row r="42" spans="2:7" hidden="1" x14ac:dyDescent="0.25">
      <c r="B42" s="23"/>
      <c r="C42" s="386"/>
      <c r="D42" s="388"/>
      <c r="E42" s="387" t="s">
        <v>328</v>
      </c>
      <c r="F42" s="666"/>
      <c r="G42" s="666"/>
    </row>
    <row r="43" spans="2:7" hidden="1" x14ac:dyDescent="0.25">
      <c r="B43" s="23"/>
      <c r="C43" s="386"/>
      <c r="D43" s="388"/>
      <c r="E43" s="387" t="s">
        <v>329</v>
      </c>
      <c r="F43" s="666"/>
      <c r="G43" s="666"/>
    </row>
    <row r="44" spans="2:7" hidden="1" x14ac:dyDescent="0.25">
      <c r="B44" s="23"/>
      <c r="C44" s="386"/>
      <c r="D44" s="388"/>
      <c r="E44" s="387" t="s">
        <v>389</v>
      </c>
      <c r="F44" s="666"/>
      <c r="G44" s="666"/>
    </row>
    <row r="45" spans="2:7" hidden="1" x14ac:dyDescent="0.25">
      <c r="B45" s="23"/>
      <c r="C45" s="386"/>
      <c r="D45" s="388"/>
      <c r="E45" s="387" t="s">
        <v>331</v>
      </c>
      <c r="F45" s="666"/>
      <c r="G45" s="666"/>
    </row>
    <row r="46" spans="2:7" hidden="1" x14ac:dyDescent="0.25">
      <c r="B46" s="23"/>
      <c r="C46" s="386">
        <v>42424</v>
      </c>
      <c r="D46" s="388"/>
      <c r="E46" s="387" t="s">
        <v>337</v>
      </c>
      <c r="F46" s="666"/>
      <c r="G46" s="666"/>
    </row>
    <row r="47" spans="2:7" hidden="1" x14ac:dyDescent="0.25">
      <c r="B47" s="23"/>
      <c r="C47" s="386"/>
      <c r="D47" s="388"/>
      <c r="E47" s="387" t="s">
        <v>378</v>
      </c>
      <c r="F47" s="666"/>
      <c r="G47" s="666"/>
    </row>
    <row r="48" spans="2:7" hidden="1" x14ac:dyDescent="0.25">
      <c r="B48" s="23"/>
      <c r="C48" s="386"/>
      <c r="D48" s="388"/>
      <c r="E48" s="387" t="s">
        <v>382</v>
      </c>
      <c r="F48" s="666"/>
      <c r="G48" s="666"/>
    </row>
    <row r="49" spans="2:7" hidden="1" x14ac:dyDescent="0.25">
      <c r="B49" s="23"/>
      <c r="C49" s="386"/>
      <c r="D49" s="388"/>
      <c r="E49" s="387" t="s">
        <v>384</v>
      </c>
      <c r="F49" s="666"/>
      <c r="G49" s="666"/>
    </row>
    <row r="50" spans="2:7" hidden="1" x14ac:dyDescent="0.25">
      <c r="B50" s="23"/>
      <c r="C50" s="386"/>
      <c r="D50" s="388"/>
      <c r="E50" s="387" t="s">
        <v>387</v>
      </c>
      <c r="F50" s="666"/>
      <c r="G50" s="666"/>
    </row>
    <row r="51" spans="2:7" hidden="1" x14ac:dyDescent="0.25">
      <c r="B51" s="23"/>
      <c r="C51" s="386">
        <v>42437</v>
      </c>
      <c r="D51" s="388"/>
      <c r="E51" s="387" t="s">
        <v>392</v>
      </c>
      <c r="F51" s="666"/>
      <c r="G51" s="666"/>
    </row>
    <row r="52" spans="2:7" hidden="1" x14ac:dyDescent="0.25">
      <c r="B52" s="23"/>
      <c r="C52" s="386"/>
      <c r="D52" s="388"/>
      <c r="E52" s="387" t="s">
        <v>393</v>
      </c>
      <c r="F52" s="666"/>
      <c r="G52" s="666"/>
    </row>
    <row r="53" spans="2:7" hidden="1" x14ac:dyDescent="0.25">
      <c r="B53" s="23"/>
      <c r="C53" s="386"/>
      <c r="D53" s="388"/>
      <c r="E53" s="387" t="s">
        <v>394</v>
      </c>
      <c r="F53" s="666"/>
      <c r="G53" s="666"/>
    </row>
    <row r="54" spans="2:7" hidden="1" x14ac:dyDescent="0.25">
      <c r="B54" s="23"/>
      <c r="C54" s="386"/>
      <c r="D54" s="388"/>
      <c r="E54" s="387" t="s">
        <v>395</v>
      </c>
      <c r="F54" s="666"/>
      <c r="G54" s="666"/>
    </row>
    <row r="55" spans="2:7" hidden="1" x14ac:dyDescent="0.25">
      <c r="B55" s="389"/>
      <c r="C55" s="390"/>
      <c r="D55" s="391"/>
      <c r="E55" s="392" t="s">
        <v>402</v>
      </c>
      <c r="F55" s="667"/>
      <c r="G55" s="667"/>
    </row>
    <row r="56" spans="2:7" hidden="1" x14ac:dyDescent="0.25">
      <c r="B56" s="23"/>
      <c r="C56" s="386"/>
      <c r="D56" s="386"/>
      <c r="E56" s="387" t="s">
        <v>403</v>
      </c>
      <c r="F56" s="666"/>
      <c r="G56" s="666"/>
    </row>
    <row r="57" spans="2:7" hidden="1" x14ac:dyDescent="0.25">
      <c r="B57" s="23"/>
      <c r="C57" s="386">
        <v>42443</v>
      </c>
      <c r="D57" s="388"/>
      <c r="E57" s="387" t="s">
        <v>405</v>
      </c>
      <c r="F57" s="666"/>
      <c r="G57" s="666"/>
    </row>
    <row r="58" spans="2:7" hidden="1" x14ac:dyDescent="0.25">
      <c r="B58" s="23"/>
      <c r="C58" s="386">
        <v>42450</v>
      </c>
      <c r="D58" s="388"/>
      <c r="E58" s="387" t="s">
        <v>408</v>
      </c>
      <c r="F58" s="666"/>
      <c r="G58" s="666"/>
    </row>
    <row r="59" spans="2:7" ht="30" hidden="1" x14ac:dyDescent="0.25">
      <c r="B59" s="23"/>
      <c r="C59" s="386"/>
      <c r="D59" s="388"/>
      <c r="E59" s="387" t="s">
        <v>409</v>
      </c>
      <c r="F59" s="666"/>
      <c r="G59" s="666"/>
    </row>
    <row r="60" spans="2:7" hidden="1" x14ac:dyDescent="0.25">
      <c r="B60" s="23"/>
      <c r="C60" s="386">
        <v>42492</v>
      </c>
      <c r="D60" s="388"/>
      <c r="E60" s="387" t="s">
        <v>411</v>
      </c>
      <c r="F60" s="666"/>
      <c r="G60" s="666"/>
    </row>
    <row r="61" spans="2:7" hidden="1" x14ac:dyDescent="0.25">
      <c r="B61" s="23"/>
      <c r="C61" s="386"/>
      <c r="D61" s="388"/>
      <c r="E61" s="387" t="s">
        <v>463</v>
      </c>
      <c r="F61" s="666"/>
      <c r="G61" s="666"/>
    </row>
    <row r="62" spans="2:7" hidden="1" x14ac:dyDescent="0.25">
      <c r="B62" s="23"/>
      <c r="C62" s="386"/>
      <c r="D62" s="388"/>
      <c r="E62" s="387" t="s">
        <v>464</v>
      </c>
      <c r="F62" s="666"/>
      <c r="G62" s="666"/>
    </row>
    <row r="63" spans="2:7" hidden="1" x14ac:dyDescent="0.25">
      <c r="B63" s="23"/>
      <c r="C63" s="386"/>
      <c r="D63" s="388"/>
      <c r="E63" s="387" t="s">
        <v>465</v>
      </c>
      <c r="F63" s="666"/>
      <c r="G63" s="666"/>
    </row>
    <row r="64" spans="2:7" hidden="1" x14ac:dyDescent="0.25">
      <c r="B64" s="23"/>
      <c r="C64" s="386">
        <v>42495</v>
      </c>
      <c r="D64" s="388"/>
      <c r="E64" s="387" t="s">
        <v>466</v>
      </c>
      <c r="F64" s="666"/>
      <c r="G64" s="666"/>
    </row>
    <row r="65" spans="2:7" hidden="1" x14ac:dyDescent="0.25">
      <c r="B65" s="23"/>
      <c r="C65" s="386">
        <v>42562</v>
      </c>
      <c r="D65" s="388"/>
      <c r="E65" s="387" t="s">
        <v>702</v>
      </c>
      <c r="F65" s="666"/>
      <c r="G65" s="666"/>
    </row>
    <row r="66" spans="2:7" hidden="1" x14ac:dyDescent="0.25">
      <c r="B66" s="23"/>
      <c r="C66" s="386">
        <v>42585</v>
      </c>
      <c r="D66" s="388"/>
      <c r="E66" s="387" t="s">
        <v>724</v>
      </c>
      <c r="F66" s="666"/>
      <c r="G66" s="666"/>
    </row>
    <row r="67" spans="2:7" hidden="1" x14ac:dyDescent="0.25">
      <c r="B67" s="23"/>
      <c r="C67" s="386"/>
      <c r="D67" s="388"/>
      <c r="E67" s="387" t="s">
        <v>794</v>
      </c>
      <c r="F67" s="666"/>
      <c r="G67" s="666"/>
    </row>
    <row r="68" spans="2:7" ht="30" hidden="1" x14ac:dyDescent="0.25">
      <c r="B68" s="23"/>
      <c r="C68" s="386">
        <v>42600</v>
      </c>
      <c r="D68" s="388"/>
      <c r="E68" s="387" t="s">
        <v>796</v>
      </c>
      <c r="F68" s="666"/>
      <c r="G68" s="666"/>
    </row>
    <row r="69" spans="2:7" hidden="1" x14ac:dyDescent="0.25">
      <c r="B69" s="23"/>
      <c r="C69" s="386">
        <v>42604</v>
      </c>
      <c r="D69" s="388"/>
      <c r="E69" s="387" t="s">
        <v>797</v>
      </c>
      <c r="F69" s="666"/>
      <c r="G69" s="666"/>
    </row>
    <row r="70" spans="2:7" hidden="1" x14ac:dyDescent="0.25">
      <c r="B70" s="23"/>
      <c r="C70" s="386">
        <v>42613</v>
      </c>
      <c r="D70" s="388"/>
      <c r="E70" s="387" t="s">
        <v>800</v>
      </c>
      <c r="F70" s="666"/>
      <c r="G70" s="666"/>
    </row>
    <row r="71" spans="2:7" ht="30" hidden="1" x14ac:dyDescent="0.25">
      <c r="B71" s="23"/>
      <c r="C71" s="386"/>
      <c r="D71" s="388"/>
      <c r="E71" s="387" t="s">
        <v>801</v>
      </c>
      <c r="F71" s="666"/>
      <c r="G71" s="666"/>
    </row>
    <row r="72" spans="2:7" hidden="1" x14ac:dyDescent="0.25">
      <c r="B72" s="389"/>
      <c r="C72" s="390">
        <v>42620</v>
      </c>
      <c r="D72" s="391"/>
      <c r="E72" s="392" t="s">
        <v>802</v>
      </c>
      <c r="F72" s="667"/>
      <c r="G72" s="667"/>
    </row>
    <row r="73" spans="2:7" hidden="1" x14ac:dyDescent="0.25">
      <c r="B73" s="23"/>
      <c r="C73" s="386"/>
      <c r="D73" s="386"/>
      <c r="E73" s="387" t="s">
        <v>803</v>
      </c>
      <c r="F73" s="666"/>
      <c r="G73" s="666"/>
    </row>
    <row r="74" spans="2:7" hidden="1" x14ac:dyDescent="0.25">
      <c r="B74" s="23"/>
      <c r="C74" s="386">
        <v>42622</v>
      </c>
      <c r="D74" s="388"/>
      <c r="E74" s="387" t="s">
        <v>804</v>
      </c>
      <c r="F74" s="666"/>
      <c r="G74" s="666"/>
    </row>
    <row r="75" spans="2:7" hidden="1" x14ac:dyDescent="0.25">
      <c r="B75" s="23"/>
      <c r="C75" s="386">
        <v>42633</v>
      </c>
      <c r="D75" s="388"/>
      <c r="E75" s="387" t="s">
        <v>805</v>
      </c>
      <c r="F75" s="666"/>
      <c r="G75" s="666"/>
    </row>
    <row r="76" spans="2:7" hidden="1" x14ac:dyDescent="0.25">
      <c r="B76" s="23"/>
      <c r="C76" s="386">
        <v>42668</v>
      </c>
      <c r="D76" s="388"/>
      <c r="E76" s="387" t="s">
        <v>806</v>
      </c>
      <c r="F76" s="666"/>
      <c r="G76" s="666"/>
    </row>
    <row r="77" spans="2:7" hidden="1" x14ac:dyDescent="0.25">
      <c r="B77" s="23"/>
      <c r="C77" s="386"/>
      <c r="D77" s="388"/>
      <c r="E77" s="387" t="s">
        <v>807</v>
      </c>
      <c r="F77" s="666"/>
      <c r="G77" s="666"/>
    </row>
    <row r="78" spans="2:7" hidden="1" x14ac:dyDescent="0.25">
      <c r="B78" s="23" t="s">
        <v>809</v>
      </c>
      <c r="C78" s="386">
        <v>42692</v>
      </c>
      <c r="D78" s="388"/>
      <c r="E78" s="387" t="s">
        <v>830</v>
      </c>
      <c r="F78" s="666"/>
      <c r="G78" s="666"/>
    </row>
    <row r="79" spans="2:7" ht="30" hidden="1" x14ac:dyDescent="0.25">
      <c r="B79" s="23"/>
      <c r="C79" s="386"/>
      <c r="D79" s="388"/>
      <c r="E79" s="387" t="s">
        <v>812</v>
      </c>
      <c r="F79" s="666"/>
      <c r="G79" s="666"/>
    </row>
    <row r="80" spans="2:7" hidden="1" x14ac:dyDescent="0.25">
      <c r="B80" s="23"/>
      <c r="C80" s="386"/>
      <c r="D80" s="388"/>
      <c r="E80" s="387" t="s">
        <v>814</v>
      </c>
      <c r="F80" s="666"/>
      <c r="G80" s="666"/>
    </row>
    <row r="81" spans="2:7" hidden="1" x14ac:dyDescent="0.25">
      <c r="B81" s="23"/>
      <c r="C81" s="386"/>
      <c r="D81" s="388"/>
      <c r="E81" s="387" t="s">
        <v>817</v>
      </c>
      <c r="F81" s="666"/>
      <c r="G81" s="666"/>
    </row>
    <row r="82" spans="2:7" hidden="1" x14ac:dyDescent="0.25">
      <c r="B82" s="23"/>
      <c r="C82" s="386"/>
      <c r="D82" s="388"/>
      <c r="E82" s="387" t="s">
        <v>818</v>
      </c>
      <c r="F82" s="666"/>
      <c r="G82" s="666"/>
    </row>
    <row r="83" spans="2:7" hidden="1" x14ac:dyDescent="0.25">
      <c r="B83" s="23"/>
      <c r="C83" s="386"/>
      <c r="D83" s="388"/>
      <c r="E83" s="387" t="s">
        <v>819</v>
      </c>
      <c r="F83" s="666"/>
      <c r="G83" s="666"/>
    </row>
    <row r="84" spans="2:7" hidden="1" x14ac:dyDescent="0.25">
      <c r="B84" s="23"/>
      <c r="C84" s="386"/>
      <c r="D84" s="388"/>
      <c r="E84" s="387" t="s">
        <v>825</v>
      </c>
      <c r="F84" s="666"/>
      <c r="G84" s="666"/>
    </row>
    <row r="85" spans="2:7" ht="30" hidden="1" x14ac:dyDescent="0.25">
      <c r="B85" s="23"/>
      <c r="C85" s="386"/>
      <c r="D85" s="388"/>
      <c r="E85" s="387" t="s">
        <v>826</v>
      </c>
      <c r="F85" s="666"/>
      <c r="G85" s="666"/>
    </row>
    <row r="86" spans="2:7" hidden="1" x14ac:dyDescent="0.25">
      <c r="B86" s="23"/>
      <c r="C86" s="386"/>
      <c r="D86" s="388"/>
      <c r="E86" s="387" t="s">
        <v>831</v>
      </c>
      <c r="F86" s="666"/>
      <c r="G86" s="666"/>
    </row>
    <row r="87" spans="2:7" hidden="1" x14ac:dyDescent="0.25">
      <c r="B87" s="23"/>
      <c r="C87" s="386"/>
      <c r="D87" s="388"/>
      <c r="E87" s="387" t="s">
        <v>834</v>
      </c>
      <c r="F87" s="666"/>
      <c r="G87" s="666"/>
    </row>
    <row r="88" spans="2:7" ht="30" hidden="1" x14ac:dyDescent="0.25">
      <c r="B88" s="23"/>
      <c r="C88" s="386"/>
      <c r="D88" s="388"/>
      <c r="E88" s="387" t="s">
        <v>835</v>
      </c>
      <c r="F88" s="666"/>
      <c r="G88" s="666"/>
    </row>
    <row r="89" spans="2:7" hidden="1" x14ac:dyDescent="0.25">
      <c r="B89" s="389" t="s">
        <v>836</v>
      </c>
      <c r="C89" s="390">
        <v>42723</v>
      </c>
      <c r="D89" s="391"/>
      <c r="E89" s="392" t="s">
        <v>837</v>
      </c>
      <c r="F89" s="667"/>
      <c r="G89" s="667"/>
    </row>
    <row r="90" spans="2:7" hidden="1" x14ac:dyDescent="0.25">
      <c r="B90" s="23"/>
      <c r="C90" s="386"/>
      <c r="D90" s="386"/>
      <c r="E90" s="387" t="s">
        <v>838</v>
      </c>
      <c r="F90" s="666"/>
      <c r="G90" s="666"/>
    </row>
    <row r="91" spans="2:7" ht="30" hidden="1" x14ac:dyDescent="0.25">
      <c r="B91" s="23"/>
      <c r="C91" s="386">
        <v>42725</v>
      </c>
      <c r="D91" s="388"/>
      <c r="E91" s="387" t="s">
        <v>839</v>
      </c>
      <c r="F91" s="666"/>
      <c r="G91" s="666"/>
    </row>
    <row r="92" spans="2:7" hidden="1" x14ac:dyDescent="0.25">
      <c r="B92" s="23"/>
      <c r="C92" s="386">
        <v>42727</v>
      </c>
      <c r="D92" s="388"/>
      <c r="E92" s="387" t="s">
        <v>841</v>
      </c>
      <c r="F92" s="666"/>
      <c r="G92" s="666"/>
    </row>
    <row r="93" spans="2:7" ht="30" hidden="1" x14ac:dyDescent="0.25">
      <c r="B93" s="23"/>
      <c r="C93" s="386"/>
      <c r="D93" s="388"/>
      <c r="E93" s="387" t="s">
        <v>843</v>
      </c>
      <c r="F93" s="666"/>
      <c r="G93" s="666"/>
    </row>
    <row r="94" spans="2:7" hidden="1" x14ac:dyDescent="0.25">
      <c r="B94" s="23"/>
      <c r="C94" s="386"/>
      <c r="D94" s="388"/>
      <c r="E94" s="387" t="s">
        <v>848</v>
      </c>
      <c r="F94" s="666"/>
      <c r="G94" s="666"/>
    </row>
    <row r="95" spans="2:7" hidden="1" x14ac:dyDescent="0.25">
      <c r="B95" s="23"/>
      <c r="C95" s="386"/>
      <c r="D95" s="388"/>
      <c r="E95" s="387" t="s">
        <v>849</v>
      </c>
      <c r="F95" s="666"/>
      <c r="G95" s="666"/>
    </row>
    <row r="96" spans="2:7" hidden="1" x14ac:dyDescent="0.25">
      <c r="B96" s="23" t="s">
        <v>851</v>
      </c>
      <c r="C96" s="386">
        <v>42809</v>
      </c>
      <c r="D96" s="388"/>
      <c r="E96" s="387" t="s">
        <v>852</v>
      </c>
      <c r="F96" s="666" t="s">
        <v>853</v>
      </c>
      <c r="G96" s="666"/>
    </row>
    <row r="97" spans="2:7" hidden="1" x14ac:dyDescent="0.25">
      <c r="B97" s="23" t="s">
        <v>860</v>
      </c>
      <c r="C97" s="386">
        <v>42845</v>
      </c>
      <c r="D97" s="388"/>
      <c r="E97" s="387" t="s">
        <v>854</v>
      </c>
      <c r="F97" s="666" t="s">
        <v>853</v>
      </c>
      <c r="G97" s="666"/>
    </row>
    <row r="98" spans="2:7" ht="30" hidden="1" x14ac:dyDescent="0.25">
      <c r="B98" s="23"/>
      <c r="C98" s="386">
        <v>42860</v>
      </c>
      <c r="D98" s="388"/>
      <c r="E98" s="387" t="s">
        <v>861</v>
      </c>
      <c r="F98" s="666" t="s">
        <v>853</v>
      </c>
      <c r="G98" s="666"/>
    </row>
    <row r="99" spans="2:7" hidden="1" x14ac:dyDescent="0.25">
      <c r="B99" s="23"/>
      <c r="C99" s="386"/>
      <c r="D99" s="388"/>
      <c r="E99" s="387" t="s">
        <v>862</v>
      </c>
      <c r="F99" s="666" t="s">
        <v>853</v>
      </c>
      <c r="G99" s="666"/>
    </row>
    <row r="100" spans="2:7" hidden="1" x14ac:dyDescent="0.25">
      <c r="B100" s="23"/>
      <c r="C100" s="386"/>
      <c r="D100" s="388"/>
      <c r="E100" s="387" t="s">
        <v>863</v>
      </c>
      <c r="F100" s="666" t="s">
        <v>853</v>
      </c>
      <c r="G100" s="666"/>
    </row>
    <row r="101" spans="2:7" hidden="1" x14ac:dyDescent="0.25">
      <c r="B101" s="23" t="s">
        <v>867</v>
      </c>
      <c r="C101" s="386">
        <v>42871</v>
      </c>
      <c r="D101" s="388"/>
      <c r="E101" s="387" t="s">
        <v>868</v>
      </c>
      <c r="F101" s="666" t="s">
        <v>853</v>
      </c>
      <c r="G101" s="666"/>
    </row>
    <row r="102" spans="2:7" hidden="1" x14ac:dyDescent="0.25">
      <c r="B102" s="23" t="s">
        <v>869</v>
      </c>
      <c r="C102" s="386">
        <v>42888</v>
      </c>
      <c r="D102" s="388"/>
      <c r="E102" s="387" t="s">
        <v>870</v>
      </c>
      <c r="F102" s="666" t="s">
        <v>853</v>
      </c>
      <c r="G102" s="666"/>
    </row>
    <row r="103" spans="2:7" ht="45" hidden="1" x14ac:dyDescent="0.25">
      <c r="B103" s="23" t="s">
        <v>871</v>
      </c>
      <c r="C103" s="386">
        <v>42935</v>
      </c>
      <c r="D103" s="388"/>
      <c r="E103" s="387" t="s">
        <v>872</v>
      </c>
      <c r="F103" s="666" t="s">
        <v>853</v>
      </c>
      <c r="G103" s="666"/>
    </row>
    <row r="104" spans="2:7" hidden="1" x14ac:dyDescent="0.25">
      <c r="B104" s="23" t="s">
        <v>887</v>
      </c>
      <c r="C104" s="386">
        <v>43028</v>
      </c>
      <c r="D104" s="388"/>
      <c r="E104" s="387" t="s">
        <v>888</v>
      </c>
      <c r="F104" s="666" t="s">
        <v>853</v>
      </c>
      <c r="G104" s="666"/>
    </row>
    <row r="105" spans="2:7" hidden="1" x14ac:dyDescent="0.25">
      <c r="B105" s="23"/>
      <c r="C105" s="386"/>
      <c r="D105" s="388"/>
      <c r="E105" s="387" t="s">
        <v>889</v>
      </c>
      <c r="F105" s="666" t="s">
        <v>853</v>
      </c>
      <c r="G105" s="666"/>
    </row>
    <row r="106" spans="2:7" hidden="1" x14ac:dyDescent="0.25">
      <c r="B106" s="389"/>
      <c r="C106" s="390">
        <v>43060</v>
      </c>
      <c r="D106" s="391"/>
      <c r="E106" s="392" t="s">
        <v>891</v>
      </c>
      <c r="F106" s="666" t="s">
        <v>853</v>
      </c>
      <c r="G106" s="666"/>
    </row>
    <row r="107" spans="2:7" hidden="1" x14ac:dyDescent="0.25">
      <c r="B107" s="23" t="s">
        <v>1010</v>
      </c>
      <c r="C107" s="386">
        <v>43146</v>
      </c>
      <c r="D107" s="386"/>
      <c r="E107" s="387" t="s">
        <v>1011</v>
      </c>
      <c r="F107" s="666" t="s">
        <v>853</v>
      </c>
      <c r="G107" s="666"/>
    </row>
    <row r="108" spans="2:7" ht="30" hidden="1" x14ac:dyDescent="0.25">
      <c r="B108" s="23"/>
      <c r="C108" s="386"/>
      <c r="D108" s="388"/>
      <c r="E108" s="387" t="s">
        <v>1012</v>
      </c>
      <c r="F108" s="666" t="s">
        <v>853</v>
      </c>
      <c r="G108" s="666"/>
    </row>
    <row r="109" spans="2:7" hidden="1" x14ac:dyDescent="0.25">
      <c r="B109" s="23" t="s">
        <v>1018</v>
      </c>
      <c r="C109" s="386">
        <v>43153</v>
      </c>
      <c r="D109" s="388"/>
      <c r="E109" s="387" t="s">
        <v>1019</v>
      </c>
      <c r="F109" s="666" t="s">
        <v>853</v>
      </c>
      <c r="G109" s="666"/>
    </row>
    <row r="110" spans="2:7" hidden="1" x14ac:dyDescent="0.25">
      <c r="B110" s="23" t="s">
        <v>1022</v>
      </c>
      <c r="C110" s="386">
        <v>43276</v>
      </c>
      <c r="D110" s="388"/>
      <c r="E110" s="387" t="s">
        <v>1023</v>
      </c>
      <c r="F110" s="666" t="s">
        <v>853</v>
      </c>
      <c r="G110" s="666"/>
    </row>
    <row r="111" spans="2:7" hidden="1" x14ac:dyDescent="0.25">
      <c r="B111" s="23"/>
      <c r="C111" s="386"/>
      <c r="D111" s="388"/>
      <c r="E111" s="387" t="s">
        <v>1024</v>
      </c>
      <c r="F111" s="666" t="s">
        <v>853</v>
      </c>
      <c r="G111" s="666"/>
    </row>
    <row r="112" spans="2:7" ht="45" hidden="1" x14ac:dyDescent="0.25">
      <c r="B112" s="23"/>
      <c r="C112" s="386"/>
      <c r="D112" s="388"/>
      <c r="E112" s="387" t="s">
        <v>1025</v>
      </c>
      <c r="F112" s="666" t="s">
        <v>853</v>
      </c>
      <c r="G112" s="666"/>
    </row>
    <row r="113" spans="2:7" ht="30" hidden="1" x14ac:dyDescent="0.25">
      <c r="B113" s="23" t="s">
        <v>1026</v>
      </c>
      <c r="C113" s="386">
        <v>43306</v>
      </c>
      <c r="D113" s="388"/>
      <c r="E113" s="387" t="s">
        <v>1027</v>
      </c>
      <c r="F113" s="666" t="s">
        <v>853</v>
      </c>
      <c r="G113" s="666"/>
    </row>
    <row r="114" spans="2:7" hidden="1" x14ac:dyDescent="0.25">
      <c r="B114" s="23" t="s">
        <v>1032</v>
      </c>
      <c r="C114" s="386">
        <v>43336</v>
      </c>
      <c r="D114" s="388"/>
      <c r="E114" s="387" t="s">
        <v>1033</v>
      </c>
      <c r="F114" s="666" t="s">
        <v>853</v>
      </c>
      <c r="G114" s="666"/>
    </row>
    <row r="115" spans="2:7" hidden="1" x14ac:dyDescent="0.25">
      <c r="B115" s="23"/>
      <c r="C115" s="386"/>
      <c r="D115" s="388"/>
      <c r="E115" s="387" t="s">
        <v>1034</v>
      </c>
      <c r="F115" s="666"/>
      <c r="G115" s="666"/>
    </row>
    <row r="116" spans="2:7" hidden="1" x14ac:dyDescent="0.25">
      <c r="B116" s="23" t="s">
        <v>1035</v>
      </c>
      <c r="C116" s="386">
        <v>43347</v>
      </c>
      <c r="D116" s="388"/>
      <c r="E116" s="387" t="s">
        <v>1036</v>
      </c>
      <c r="F116" s="666" t="s">
        <v>853</v>
      </c>
      <c r="G116" s="666"/>
    </row>
    <row r="117" spans="2:7" hidden="1" x14ac:dyDescent="0.25">
      <c r="B117" s="23" t="s">
        <v>1038</v>
      </c>
      <c r="C117" s="386">
        <v>43460</v>
      </c>
      <c r="D117" s="388"/>
      <c r="E117" s="387" t="s">
        <v>1039</v>
      </c>
      <c r="F117" s="666" t="s">
        <v>853</v>
      </c>
      <c r="G117" s="666"/>
    </row>
    <row r="118" spans="2:7" ht="45" hidden="1" x14ac:dyDescent="0.25">
      <c r="B118" s="23"/>
      <c r="C118" s="386"/>
      <c r="D118" s="388"/>
      <c r="E118" s="387" t="s">
        <v>1040</v>
      </c>
      <c r="F118" s="666" t="s">
        <v>853</v>
      </c>
      <c r="G118" s="666"/>
    </row>
    <row r="119" spans="2:7" hidden="1" x14ac:dyDescent="0.25">
      <c r="B119" s="23"/>
      <c r="C119" s="386"/>
      <c r="D119" s="388"/>
      <c r="E119" s="387" t="s">
        <v>1041</v>
      </c>
      <c r="F119" s="666" t="s">
        <v>853</v>
      </c>
      <c r="G119" s="666"/>
    </row>
    <row r="120" spans="2:7" ht="30" hidden="1" x14ac:dyDescent="0.25">
      <c r="B120" s="23" t="s">
        <v>1044</v>
      </c>
      <c r="C120" s="386">
        <v>43500</v>
      </c>
      <c r="D120" s="388"/>
      <c r="E120" s="387" t="s">
        <v>1045</v>
      </c>
      <c r="F120" s="666" t="s">
        <v>853</v>
      </c>
      <c r="G120" s="666"/>
    </row>
    <row r="121" spans="2:7" hidden="1" x14ac:dyDescent="0.25">
      <c r="B121" s="23"/>
      <c r="C121" s="386"/>
      <c r="D121" s="388"/>
      <c r="E121" s="387" t="s">
        <v>1051</v>
      </c>
      <c r="F121" s="666" t="s">
        <v>853</v>
      </c>
      <c r="G121" s="666"/>
    </row>
    <row r="122" spans="2:7" ht="30" hidden="1" x14ac:dyDescent="0.25">
      <c r="B122" s="23"/>
      <c r="C122" s="386"/>
      <c r="D122" s="388"/>
      <c r="E122" s="387" t="s">
        <v>1052</v>
      </c>
      <c r="F122" s="666" t="s">
        <v>853</v>
      </c>
      <c r="G122" s="666"/>
    </row>
    <row r="123" spans="2:7" ht="30" hidden="1" x14ac:dyDescent="0.25">
      <c r="B123" s="389"/>
      <c r="C123" s="390"/>
      <c r="D123" s="391"/>
      <c r="E123" s="392" t="s">
        <v>1053</v>
      </c>
      <c r="F123" s="667" t="s">
        <v>853</v>
      </c>
      <c r="G123" s="667"/>
    </row>
    <row r="124" spans="2:7" ht="30" hidden="1" x14ac:dyDescent="0.25">
      <c r="B124" s="23"/>
      <c r="C124" s="386">
        <v>43509</v>
      </c>
      <c r="D124" s="388"/>
      <c r="E124" s="387" t="s">
        <v>1114</v>
      </c>
      <c r="F124" s="666" t="s">
        <v>853</v>
      </c>
      <c r="G124" s="666"/>
    </row>
    <row r="125" spans="2:7" ht="30" hidden="1" x14ac:dyDescent="0.25">
      <c r="B125" s="23"/>
      <c r="C125" s="386"/>
      <c r="D125" s="388"/>
      <c r="E125" s="387" t="s">
        <v>1117</v>
      </c>
      <c r="F125" s="666" t="s">
        <v>853</v>
      </c>
      <c r="G125" s="666"/>
    </row>
    <row r="126" spans="2:7" hidden="1" x14ac:dyDescent="0.25">
      <c r="B126" s="23" t="s">
        <v>1118</v>
      </c>
      <c r="C126" s="386">
        <v>43528</v>
      </c>
      <c r="D126" s="388"/>
      <c r="E126" s="387" t="s">
        <v>1119</v>
      </c>
      <c r="F126" s="666" t="s">
        <v>853</v>
      </c>
      <c r="G126" s="666"/>
    </row>
    <row r="127" spans="2:7" hidden="1" x14ac:dyDescent="0.25">
      <c r="B127" s="23"/>
      <c r="C127" s="386">
        <v>43559</v>
      </c>
      <c r="D127" s="388"/>
      <c r="E127" s="387" t="s">
        <v>1120</v>
      </c>
      <c r="F127" s="666" t="s">
        <v>853</v>
      </c>
      <c r="G127" s="666"/>
    </row>
    <row r="128" spans="2:7" hidden="1" x14ac:dyDescent="0.25">
      <c r="B128" s="23"/>
      <c r="C128" s="386"/>
      <c r="D128" s="388"/>
      <c r="E128" s="387" t="s">
        <v>1162</v>
      </c>
      <c r="F128" s="666" t="s">
        <v>853</v>
      </c>
      <c r="G128" s="666"/>
    </row>
    <row r="129" spans="2:7" hidden="1" x14ac:dyDescent="0.25">
      <c r="B129" s="23"/>
      <c r="C129" s="386">
        <v>43614</v>
      </c>
      <c r="D129" s="388"/>
      <c r="E129" s="387" t="s">
        <v>1163</v>
      </c>
      <c r="F129" s="666" t="s">
        <v>853</v>
      </c>
      <c r="G129" s="666"/>
    </row>
    <row r="130" spans="2:7" hidden="1" x14ac:dyDescent="0.25">
      <c r="B130" s="23">
        <v>19.2</v>
      </c>
      <c r="C130" s="386"/>
      <c r="D130" s="388"/>
      <c r="E130" s="387" t="s">
        <v>1164</v>
      </c>
      <c r="F130" s="666" t="s">
        <v>853</v>
      </c>
      <c r="G130" s="666"/>
    </row>
    <row r="131" spans="2:7" hidden="1" x14ac:dyDescent="0.25">
      <c r="B131" s="23">
        <v>19.3</v>
      </c>
      <c r="C131" s="386">
        <v>43693</v>
      </c>
      <c r="D131" s="388"/>
      <c r="E131" s="387" t="s">
        <v>1165</v>
      </c>
      <c r="F131" s="666" t="s">
        <v>853</v>
      </c>
      <c r="G131" s="666"/>
    </row>
    <row r="132" spans="2:7" hidden="1" x14ac:dyDescent="0.25">
      <c r="B132" s="23"/>
      <c r="C132" s="386"/>
      <c r="D132" s="388"/>
      <c r="E132" s="387" t="s">
        <v>1202</v>
      </c>
      <c r="F132" s="666" t="s">
        <v>853</v>
      </c>
      <c r="G132" s="666"/>
    </row>
    <row r="133" spans="2:7" ht="30" hidden="1" x14ac:dyDescent="0.25">
      <c r="B133" s="23"/>
      <c r="C133" s="386">
        <v>43699</v>
      </c>
      <c r="D133" s="388"/>
      <c r="E133" s="387" t="s">
        <v>1210</v>
      </c>
      <c r="F133" s="666" t="s">
        <v>853</v>
      </c>
      <c r="G133" s="666"/>
    </row>
    <row r="134" spans="2:7" hidden="1" x14ac:dyDescent="0.25">
      <c r="B134" s="23"/>
      <c r="C134" s="386">
        <v>43706</v>
      </c>
      <c r="D134" s="388"/>
      <c r="E134" s="387" t="s">
        <v>1220</v>
      </c>
      <c r="F134" s="666" t="s">
        <v>853</v>
      </c>
      <c r="G134" s="666"/>
    </row>
    <row r="135" spans="2:7" hidden="1" x14ac:dyDescent="0.25">
      <c r="B135" s="23">
        <v>20</v>
      </c>
      <c r="C135" s="386">
        <v>43815</v>
      </c>
      <c r="D135" s="388"/>
      <c r="E135" s="387" t="s">
        <v>1221</v>
      </c>
      <c r="F135" s="666" t="s">
        <v>853</v>
      </c>
      <c r="G135" s="666"/>
    </row>
    <row r="136" spans="2:7" hidden="1" x14ac:dyDescent="0.25">
      <c r="B136" s="23"/>
      <c r="C136" s="386">
        <v>43486</v>
      </c>
      <c r="D136" s="388"/>
      <c r="E136" s="387" t="s">
        <v>1223</v>
      </c>
      <c r="F136" s="666" t="s">
        <v>853</v>
      </c>
      <c r="G136" s="666"/>
    </row>
    <row r="137" spans="2:7" hidden="1" x14ac:dyDescent="0.25">
      <c r="B137" s="23"/>
      <c r="C137" s="386"/>
      <c r="D137" s="388"/>
      <c r="E137" s="387" t="s">
        <v>1224</v>
      </c>
      <c r="F137" s="666" t="s">
        <v>853</v>
      </c>
      <c r="G137" s="666"/>
    </row>
    <row r="138" spans="2:7" hidden="1" x14ac:dyDescent="0.25">
      <c r="B138" s="23" t="s">
        <v>1225</v>
      </c>
      <c r="C138" s="386">
        <v>44123</v>
      </c>
      <c r="D138" s="388"/>
      <c r="E138" s="387" t="s">
        <v>1226</v>
      </c>
      <c r="F138" s="666" t="s">
        <v>853</v>
      </c>
      <c r="G138" s="666"/>
    </row>
    <row r="139" spans="2:7" hidden="1" x14ac:dyDescent="0.25">
      <c r="B139" s="23">
        <v>21</v>
      </c>
      <c r="C139" s="386">
        <v>44160</v>
      </c>
      <c r="D139" s="388"/>
      <c r="E139" s="387" t="s">
        <v>1227</v>
      </c>
      <c r="F139" s="666" t="s">
        <v>853</v>
      </c>
      <c r="G139" s="666"/>
    </row>
    <row r="140" spans="2:7" hidden="1" x14ac:dyDescent="0.25">
      <c r="B140" s="23"/>
      <c r="C140" s="386"/>
      <c r="D140" s="388"/>
      <c r="E140" s="387" t="s">
        <v>1231</v>
      </c>
      <c r="F140" s="666" t="s">
        <v>853</v>
      </c>
      <c r="G140" s="666"/>
    </row>
    <row r="141" spans="2:7" hidden="1" x14ac:dyDescent="0.25">
      <c r="B141" s="23"/>
      <c r="C141" s="386"/>
      <c r="D141" s="388"/>
      <c r="E141" s="387" t="s">
        <v>1230</v>
      </c>
      <c r="F141" s="666" t="s">
        <v>853</v>
      </c>
      <c r="G141" s="666"/>
    </row>
    <row r="142" spans="2:7" hidden="1" x14ac:dyDescent="0.25">
      <c r="B142" s="23"/>
      <c r="C142" s="386"/>
      <c r="D142" s="388"/>
      <c r="E142" s="387" t="s">
        <v>1235</v>
      </c>
      <c r="F142" s="666" t="s">
        <v>853</v>
      </c>
      <c r="G142" s="666"/>
    </row>
    <row r="143" spans="2:7" hidden="1" x14ac:dyDescent="0.25">
      <c r="B143" s="23"/>
      <c r="C143" s="386"/>
      <c r="D143" s="388"/>
      <c r="E143" s="387" t="s">
        <v>1236</v>
      </c>
      <c r="F143" s="666" t="s">
        <v>853</v>
      </c>
      <c r="G143" s="666"/>
    </row>
    <row r="144" spans="2:7" hidden="1" x14ac:dyDescent="0.25">
      <c r="B144" s="23" t="s">
        <v>1238</v>
      </c>
      <c r="C144" s="386">
        <v>44228</v>
      </c>
      <c r="D144" s="388"/>
      <c r="E144" s="387" t="s">
        <v>1237</v>
      </c>
      <c r="F144" s="666" t="s">
        <v>853</v>
      </c>
      <c r="G144" s="666"/>
    </row>
    <row r="145" spans="2:7" ht="30" hidden="1" x14ac:dyDescent="0.25">
      <c r="B145" s="23">
        <v>22</v>
      </c>
      <c r="C145" s="386">
        <v>44594</v>
      </c>
      <c r="D145" s="388"/>
      <c r="E145" s="387" t="s">
        <v>1239</v>
      </c>
      <c r="F145" s="666" t="s">
        <v>853</v>
      </c>
      <c r="G145" s="666"/>
    </row>
    <row r="146" spans="2:7" ht="30" hidden="1" x14ac:dyDescent="0.25">
      <c r="B146" s="23"/>
      <c r="C146" s="386"/>
      <c r="D146" s="388"/>
      <c r="E146" s="387" t="s">
        <v>1240</v>
      </c>
      <c r="F146" s="666" t="s">
        <v>853</v>
      </c>
      <c r="G146" s="666"/>
    </row>
    <row r="147" spans="2:7" hidden="1" x14ac:dyDescent="0.25">
      <c r="B147" s="23"/>
      <c r="C147" s="386"/>
      <c r="D147" s="388"/>
      <c r="E147" s="387" t="s">
        <v>1331</v>
      </c>
      <c r="F147" s="666" t="s">
        <v>853</v>
      </c>
      <c r="G147" s="666"/>
    </row>
    <row r="148" spans="2:7" hidden="1" x14ac:dyDescent="0.25">
      <c r="B148" s="23">
        <v>22.1</v>
      </c>
      <c r="C148" s="386">
        <v>44642</v>
      </c>
      <c r="D148" s="388"/>
      <c r="E148" s="387" t="s">
        <v>1383</v>
      </c>
      <c r="F148" s="666" t="s">
        <v>853</v>
      </c>
      <c r="G148" s="666"/>
    </row>
    <row r="149" spans="2:7" ht="30" hidden="1" x14ac:dyDescent="0.25">
      <c r="B149" s="23"/>
      <c r="C149" s="386"/>
      <c r="D149" s="388"/>
      <c r="E149" s="387" t="s">
        <v>1384</v>
      </c>
      <c r="F149" s="666" t="s">
        <v>853</v>
      </c>
      <c r="G149" s="666"/>
    </row>
    <row r="150" spans="2:7" hidden="1" x14ac:dyDescent="0.25">
      <c r="B150" s="23"/>
      <c r="C150" s="386"/>
      <c r="D150" s="388"/>
      <c r="E150" s="387" t="s">
        <v>1385</v>
      </c>
      <c r="F150" s="666" t="s">
        <v>853</v>
      </c>
      <c r="G150" s="666"/>
    </row>
    <row r="151" spans="2:7" hidden="1" x14ac:dyDescent="0.25">
      <c r="B151" s="23"/>
      <c r="C151" s="386">
        <v>44676</v>
      </c>
      <c r="D151" s="388"/>
      <c r="E151" s="387" t="s">
        <v>1387</v>
      </c>
      <c r="F151" s="666" t="s">
        <v>853</v>
      </c>
      <c r="G151" s="666"/>
    </row>
    <row r="152" spans="2:7" hidden="1" x14ac:dyDescent="0.25">
      <c r="B152" s="23">
        <v>23</v>
      </c>
      <c r="C152" s="386">
        <v>44956</v>
      </c>
      <c r="D152" s="388"/>
      <c r="E152" s="387" t="s">
        <v>1448</v>
      </c>
      <c r="F152" s="666" t="s">
        <v>853</v>
      </c>
      <c r="G152" s="666"/>
    </row>
    <row r="153" spans="2:7" hidden="1" x14ac:dyDescent="0.25">
      <c r="B153" s="23">
        <v>23.1</v>
      </c>
      <c r="C153" s="386">
        <v>45023</v>
      </c>
      <c r="D153" s="388"/>
      <c r="E153" s="387" t="s">
        <v>1474</v>
      </c>
      <c r="F153" s="666" t="s">
        <v>853</v>
      </c>
      <c r="G153" s="666"/>
    </row>
    <row r="154" spans="2:7" x14ac:dyDescent="0.25">
      <c r="B154" s="23">
        <v>24</v>
      </c>
      <c r="C154" s="386">
        <v>45301</v>
      </c>
      <c r="D154" s="388"/>
      <c r="E154" s="387" t="s">
        <v>1477</v>
      </c>
      <c r="F154" s="666" t="s">
        <v>853</v>
      </c>
      <c r="G154" s="666"/>
    </row>
    <row r="155" spans="2:7" x14ac:dyDescent="0.25">
      <c r="B155" s="23"/>
      <c r="C155" s="386"/>
      <c r="D155" s="388"/>
      <c r="E155" s="387" t="s">
        <v>1486</v>
      </c>
      <c r="F155" s="666" t="s">
        <v>853</v>
      </c>
      <c r="G155" s="666"/>
    </row>
    <row r="156" spans="2:7" x14ac:dyDescent="0.25">
      <c r="B156" s="23"/>
      <c r="C156" s="386"/>
      <c r="D156" s="388"/>
      <c r="E156" s="387" t="s">
        <v>1487</v>
      </c>
      <c r="F156" s="666" t="s">
        <v>853</v>
      </c>
      <c r="G156" s="666"/>
    </row>
    <row r="157" spans="2:7" x14ac:dyDescent="0.25">
      <c r="B157" s="23"/>
      <c r="C157" s="386"/>
      <c r="D157" s="388"/>
      <c r="E157" s="387" t="s">
        <v>1490</v>
      </c>
      <c r="F157" s="666" t="s">
        <v>853</v>
      </c>
      <c r="G157" s="666"/>
    </row>
    <row r="158" spans="2:7" x14ac:dyDescent="0.25">
      <c r="B158" s="23">
        <v>24.1</v>
      </c>
      <c r="C158" s="386">
        <v>45490</v>
      </c>
      <c r="D158" s="388"/>
      <c r="E158" s="387" t="s">
        <v>1491</v>
      </c>
      <c r="F158" s="666" t="s">
        <v>853</v>
      </c>
      <c r="G158" s="666"/>
    </row>
    <row r="159" spans="2:7" x14ac:dyDescent="0.25">
      <c r="B159" s="23"/>
      <c r="C159" s="386"/>
      <c r="D159" s="388"/>
      <c r="E159" s="387" t="s">
        <v>1492</v>
      </c>
      <c r="F159" s="666" t="s">
        <v>853</v>
      </c>
      <c r="G159" s="666"/>
    </row>
    <row r="160" spans="2:7" ht="105" x14ac:dyDescent="0.25">
      <c r="B160" s="23">
        <v>25</v>
      </c>
      <c r="C160" s="669">
        <v>45748</v>
      </c>
      <c r="D160" s="750" t="s">
        <v>1502</v>
      </c>
      <c r="E160" s="387" t="s">
        <v>1503</v>
      </c>
      <c r="F160" s="666" t="s">
        <v>1498</v>
      </c>
      <c r="G160" s="668" t="s">
        <v>1501</v>
      </c>
    </row>
    <row r="161" spans="2:7" ht="120" x14ac:dyDescent="0.25">
      <c r="B161" s="23">
        <v>25.1</v>
      </c>
      <c r="C161" s="669">
        <v>45881</v>
      </c>
      <c r="D161" s="750" t="s">
        <v>1506</v>
      </c>
      <c r="E161" s="387" t="s">
        <v>1507</v>
      </c>
      <c r="F161" s="666" t="s">
        <v>1498</v>
      </c>
      <c r="G161" s="668"/>
    </row>
    <row r="162" spans="2:7" ht="120" x14ac:dyDescent="0.25">
      <c r="B162" s="23">
        <v>26</v>
      </c>
      <c r="C162" s="669">
        <v>46031</v>
      </c>
      <c r="D162" s="750" t="s">
        <v>1508</v>
      </c>
      <c r="E162" s="387" t="s">
        <v>1511</v>
      </c>
      <c r="F162" s="666" t="s">
        <v>1498</v>
      </c>
      <c r="G162" s="668" t="s">
        <v>1512</v>
      </c>
    </row>
    <row r="163" spans="2:7" ht="90" x14ac:dyDescent="0.25">
      <c r="B163" s="23">
        <v>26.1</v>
      </c>
      <c r="C163" s="669">
        <v>46149</v>
      </c>
      <c r="D163" s="750" t="s">
        <v>1513</v>
      </c>
      <c r="E163" s="387" t="s">
        <v>1514</v>
      </c>
      <c r="F163" s="666" t="s">
        <v>1498</v>
      </c>
      <c r="G163" s="668" t="s">
        <v>1557</v>
      </c>
    </row>
    <row r="164" spans="2:7" ht="60" x14ac:dyDescent="0.25">
      <c r="B164" s="23">
        <v>26.1</v>
      </c>
      <c r="C164" s="669">
        <v>46149</v>
      </c>
      <c r="D164" s="750" t="s">
        <v>1518</v>
      </c>
      <c r="E164" s="387" t="s">
        <v>1517</v>
      </c>
      <c r="F164" s="666" t="s">
        <v>1498</v>
      </c>
      <c r="G164" s="668" t="s">
        <v>1557</v>
      </c>
    </row>
    <row r="165" spans="2:7" ht="120" x14ac:dyDescent="0.25">
      <c r="B165" s="23">
        <v>26.1</v>
      </c>
      <c r="C165" s="669">
        <v>46149</v>
      </c>
      <c r="D165" s="750" t="s">
        <v>1523</v>
      </c>
      <c r="E165" s="387" t="s">
        <v>1524</v>
      </c>
      <c r="F165" s="666" t="s">
        <v>1498</v>
      </c>
      <c r="G165" s="668" t="s">
        <v>1557</v>
      </c>
    </row>
    <row r="166" spans="2:7" ht="75" x14ac:dyDescent="0.25">
      <c r="B166" s="23">
        <v>26.1</v>
      </c>
      <c r="C166" s="669">
        <v>46149</v>
      </c>
      <c r="D166" s="750" t="s">
        <v>1526</v>
      </c>
      <c r="E166" s="387" t="s">
        <v>1525</v>
      </c>
      <c r="F166" s="666" t="s">
        <v>1498</v>
      </c>
      <c r="G166" s="668" t="s">
        <v>1557</v>
      </c>
    </row>
    <row r="167" spans="2:7" ht="60" x14ac:dyDescent="0.25">
      <c r="B167" s="23">
        <v>26.1</v>
      </c>
      <c r="C167" s="669">
        <v>46149</v>
      </c>
      <c r="D167" s="750" t="s">
        <v>1527</v>
      </c>
      <c r="E167" s="387" t="s">
        <v>1528</v>
      </c>
      <c r="F167" s="666" t="s">
        <v>1498</v>
      </c>
      <c r="G167" s="668" t="s">
        <v>1557</v>
      </c>
    </row>
    <row r="168" spans="2:7" x14ac:dyDescent="0.25">
      <c r="B168" s="23">
        <v>26.1</v>
      </c>
      <c r="C168" s="669">
        <v>46149</v>
      </c>
      <c r="D168" s="750" t="s">
        <v>1530</v>
      </c>
      <c r="E168" s="387" t="s">
        <v>1529</v>
      </c>
      <c r="F168" s="666" t="s">
        <v>1498</v>
      </c>
      <c r="G168" s="668" t="s">
        <v>1557</v>
      </c>
    </row>
    <row r="169" spans="2:7" ht="60" x14ac:dyDescent="0.25">
      <c r="B169" s="23">
        <v>26.1</v>
      </c>
      <c r="C169" s="669">
        <v>46169</v>
      </c>
      <c r="D169" s="750" t="s">
        <v>1555</v>
      </c>
      <c r="E169" s="387" t="s">
        <v>1556</v>
      </c>
      <c r="F169" s="666" t="s">
        <v>1498</v>
      </c>
      <c r="G169" s="668" t="s">
        <v>1557</v>
      </c>
    </row>
    <row r="170" spans="2:7" x14ac:dyDescent="0.25">
      <c r="B170" s="23"/>
      <c r="C170" s="669"/>
      <c r="D170" s="750"/>
      <c r="E170" s="387"/>
      <c r="F170" s="666"/>
      <c r="G170" s="668"/>
    </row>
    <row r="171" spans="2:7" x14ac:dyDescent="0.25">
      <c r="B171" s="23"/>
      <c r="C171" s="669"/>
      <c r="D171" s="750"/>
      <c r="E171" s="387"/>
      <c r="F171" s="666"/>
      <c r="G171" s="668"/>
    </row>
    <row r="172" spans="2:7" x14ac:dyDescent="0.25">
      <c r="B172" s="23"/>
      <c r="C172" s="669"/>
      <c r="D172" s="750"/>
      <c r="E172" s="387"/>
      <c r="F172" s="666"/>
      <c r="G172" s="668"/>
    </row>
    <row r="173" spans="2:7" x14ac:dyDescent="0.25">
      <c r="B173" s="23"/>
      <c r="C173" s="669"/>
      <c r="D173" s="750"/>
      <c r="E173" s="387"/>
      <c r="F173" s="666"/>
      <c r="G173" s="668"/>
    </row>
    <row r="174" spans="2:7" x14ac:dyDescent="0.25">
      <c r="B174" s="23"/>
      <c r="C174" s="669"/>
      <c r="D174" s="750"/>
      <c r="E174" s="387"/>
      <c r="F174" s="666"/>
      <c r="G174" s="668"/>
    </row>
    <row r="175" spans="2:7" x14ac:dyDescent="0.25">
      <c r="B175" s="23"/>
      <c r="C175" s="669"/>
      <c r="D175" s="750"/>
      <c r="E175" s="387"/>
      <c r="F175" s="666"/>
      <c r="G175" s="668"/>
    </row>
    <row r="176" spans="2:7" x14ac:dyDescent="0.25">
      <c r="B176" s="23"/>
      <c r="C176" s="669"/>
      <c r="D176" s="750"/>
      <c r="E176" s="387"/>
      <c r="F176" s="666"/>
      <c r="G176" s="668"/>
    </row>
    <row r="177" spans="2:7" x14ac:dyDescent="0.25">
      <c r="B177" s="23"/>
      <c r="C177" s="669"/>
      <c r="D177" s="750"/>
      <c r="E177" s="387"/>
      <c r="F177" s="666"/>
      <c r="G177" s="668"/>
    </row>
    <row r="178" spans="2:7" x14ac:dyDescent="0.25">
      <c r="B178" s="23"/>
      <c r="C178" s="669"/>
      <c r="D178" s="750"/>
      <c r="E178" s="387"/>
      <c r="F178" s="666"/>
      <c r="G178" s="668"/>
    </row>
  </sheetData>
  <mergeCells count="1">
    <mergeCell ref="B2:F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E7B1530E4424C4DB9612FE8537D17B8" ma:contentTypeVersion="17" ma:contentTypeDescription="Create a new document." ma:contentTypeScope="" ma:versionID="b9de3d4bd4580b59b35d7a34e91e5c26">
  <xsd:schema xmlns:xsd="http://www.w3.org/2001/XMLSchema" xmlns:xs="http://www.w3.org/2001/XMLSchema" xmlns:p="http://schemas.microsoft.com/office/2006/metadata/properties" xmlns:ns2="879c4f8e-ea4e-4f53-92a5-101f7f1efef3" xmlns:ns3="dc781271-d9fd-4b36-b46a-840f230ccdae" targetNamespace="http://schemas.microsoft.com/office/2006/metadata/properties" ma:root="true" ma:fieldsID="f29ca5329ed5c3d4352b4da5d32c09ea" ns2:_="" ns3:_="">
    <xsd:import namespace="879c4f8e-ea4e-4f53-92a5-101f7f1efef3"/>
    <xsd:import namespace="dc781271-d9fd-4b36-b46a-840f230ccda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3:SharedWithUsers" minOccurs="0"/>
                <xsd:element ref="ns3:SharedWithDetails"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9c4f8e-ea4e-4f53-92a5-101f7f1efef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MediaLengthInSeconds" ma:hidden="true" ma:internalName="MediaLengthInSeconds" ma:readOnly="true">
      <xsd:simpleType>
        <xsd:restriction base="dms:Unknown"/>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3f6033a7-fbac-4cd0-8a8a-00b65ae7f6db" ma:termSetId="09814cd3-568e-fe90-9814-8d621ff8fb84" ma:anchorId="fba54fb3-c3e1-fe81-a776-ca4b69148c4d" ma:open="true" ma:isKeyword="false">
      <xsd:complexType>
        <xsd:sequence>
          <xsd:element ref="pc:Terms" minOccurs="0" maxOccurs="1"/>
        </xsd:sequence>
      </xsd:complex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GenerationTime" ma:index="22" nillable="true" ma:displayName="MediaServiceGenerationTime" ma:hidden="true" ma:internalName="MediaServiceGenerationTime" ma:readOnly="true">
      <xsd:simpleType>
        <xsd:restriction base="dms:Text"/>
      </xsd:simpleType>
    </xsd:element>
    <xsd:element name="MediaServiceEventHashCode" ma:index="23" nillable="true" ma:displayName="MediaServiceEventHashCode" ma:hidden="true" ma:internalName="MediaServiceEventHashCode" ma:readOnly="true">
      <xsd:simpleType>
        <xsd:restriction base="dms:Text"/>
      </xsd:simpleType>
    </xsd:element>
    <xsd:element name="MediaServiceLocation" ma:index="24"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781271-d9fd-4b36-b46a-840f230ccdae"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cc1f5f03-7a7b-4fac-8a12-85cff11cf27c}" ma:internalName="TaxCatchAll" ma:showField="CatchAllData" ma:web="dc781271-d9fd-4b36-b46a-840f230ccda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79c4f8e-ea4e-4f53-92a5-101f7f1efef3">
      <Terms xmlns="http://schemas.microsoft.com/office/infopath/2007/PartnerControls"/>
    </lcf76f155ced4ddcb4097134ff3c332f>
    <TaxCatchAll xmlns="dc781271-d9fd-4b36-b46a-840f230ccdae"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E1A04FA-D732-49AD-AEEB-345E135C3C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9c4f8e-ea4e-4f53-92a5-101f7f1efef3"/>
    <ds:schemaRef ds:uri="dc781271-d9fd-4b36-b46a-840f230ccd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BD97F54-FD2F-493A-BCE1-DD83AB456BB7}">
  <ds:schemaRefs>
    <ds:schemaRef ds:uri="http://schemas.microsoft.com/office/2006/documentManagement/types"/>
    <ds:schemaRef ds:uri="http://schemas.openxmlformats.org/package/2006/metadata/core-properties"/>
    <ds:schemaRef ds:uri="879c4f8e-ea4e-4f53-92a5-101f7f1efef3"/>
    <ds:schemaRef ds:uri="http://purl.org/dc/elements/1.1/"/>
    <ds:schemaRef ds:uri="http://purl.org/dc/dcmitype/"/>
    <ds:schemaRef ds:uri="dc781271-d9fd-4b36-b46a-840f230ccdae"/>
    <ds:schemaRef ds:uri="http://www.w3.org/XML/1998/namespace"/>
    <ds:schemaRef ds:uri="http://schemas.microsoft.com/office/2006/metadata/properties"/>
    <ds:schemaRef ds:uri="http://schemas.microsoft.com/office/infopath/2007/PartnerControls"/>
    <ds:schemaRef ds:uri="http://purl.org/dc/terms/"/>
  </ds:schemaRefs>
</ds:datastoreItem>
</file>

<file path=customXml/itemProps3.xml><?xml version="1.0" encoding="utf-8"?>
<ds:datastoreItem xmlns:ds="http://schemas.openxmlformats.org/officeDocument/2006/customXml" ds:itemID="{C3A9CD77-21DB-4635-A0D4-7CB4AE0F4A1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250</vt:i4>
      </vt:variant>
    </vt:vector>
  </HeadingPairs>
  <TitlesOfParts>
    <vt:vector size="272" baseType="lpstr">
      <vt:lpstr>Instructions</vt:lpstr>
      <vt:lpstr>Project Info</vt:lpstr>
      <vt:lpstr>Inventory</vt:lpstr>
      <vt:lpstr>Summary</vt:lpstr>
      <vt:lpstr>Report</vt:lpstr>
      <vt:lpstr>Inspection Form</vt:lpstr>
      <vt:lpstr>Building Types</vt:lpstr>
      <vt:lpstr>DSMT Export</vt:lpstr>
      <vt:lpstr>Measure_Line_Item__c</vt:lpstr>
      <vt:lpstr>Unitary</vt:lpstr>
      <vt:lpstr>VRF</vt:lpstr>
      <vt:lpstr>Chiller</vt:lpstr>
      <vt:lpstr>PTAC</vt:lpstr>
      <vt:lpstr>CRAC</vt:lpstr>
      <vt:lpstr>RoomAC</vt:lpstr>
      <vt:lpstr>SPVAC</vt:lpstr>
      <vt:lpstr>Geothermal</vt:lpstr>
      <vt:lpstr>Equipment Lookups</vt:lpstr>
      <vt:lpstr>County to Zone</vt:lpstr>
      <vt:lpstr>EFLH</vt:lpstr>
      <vt:lpstr>Utility Admin</vt:lpstr>
      <vt:lpstr>Version Log</vt:lpstr>
      <vt:lpstr>ACkW</vt:lpstr>
      <vt:lpstr>ACkWh</vt:lpstr>
      <vt:lpstr>AirCooledChiller</vt:lpstr>
      <vt:lpstr>AirCooledChillerCentrifugalAGreaterthan150tons</vt:lpstr>
      <vt:lpstr>AirCooledChillerCentrifugalALessthan150tons</vt:lpstr>
      <vt:lpstr>AirCooledChillerCentrifugalBGreaterthan150tons</vt:lpstr>
      <vt:lpstr>AirCooledChillerCentrifugalBLessthan150tons</vt:lpstr>
      <vt:lpstr>AirCooledChillerScrewScrollReciprocatingAGreaterthan150tons</vt:lpstr>
      <vt:lpstr>AirCooledChillerScrewScrollReciprocatingALessthan150tons</vt:lpstr>
      <vt:lpstr>AirCooledChillerScrewScrollReciprocatingBGreaterthan150tons</vt:lpstr>
      <vt:lpstr>AirCooledChillerScrewScrollReciprocatingBLessthan150tons</vt:lpstr>
      <vt:lpstr>APID</vt:lpstr>
      <vt:lpstr>ARCounties</vt:lpstr>
      <vt:lpstr>AREquipmentType</vt:lpstr>
      <vt:lpstr>ARUtilities</vt:lpstr>
      <vt:lpstr>BaselineRow</vt:lpstr>
      <vt:lpstr>ComputerRoomAC</vt:lpstr>
      <vt:lpstr>ComputerRoomACAirCooledDownflow65to240kbtuh</vt:lpstr>
      <vt:lpstr>ComputerRoomACAirCooledDownflowGreaterThan240kbtuh</vt:lpstr>
      <vt:lpstr>ComputerRoomACAirCooledDownflowLessthan65kbtuh</vt:lpstr>
      <vt:lpstr>ComputerRoomACAirCooledUpflow65to240kbtuh</vt:lpstr>
      <vt:lpstr>ComputerRoomACAirCooledUpflowGreaterThan240kbtuh</vt:lpstr>
      <vt:lpstr>ComputerRoomACAirCooledUpflowLessthan65kbtuh</vt:lpstr>
      <vt:lpstr>ComputerRoomACAirCooledwithFluidEconomizerDownflow65to240kbtuh</vt:lpstr>
      <vt:lpstr>ComputerRoomACAirCooledwithFluidEconomizerDownflowGreaterThan240kbtuh</vt:lpstr>
      <vt:lpstr>ComputerRoomACAirCooledwithFluidEconomizerDownflowLessthan65kbtuh</vt:lpstr>
      <vt:lpstr>ComputerRoomACAirCooledwithFluidEconomizerUpflow65to240kbtuh</vt:lpstr>
      <vt:lpstr>ComputerRoomACAirCooledwithFluidEconomizerUpflowGreaterThan240kbtuh</vt:lpstr>
      <vt:lpstr>ComputerRoomACAirCooledwithFluidEconomizerUpflowLessthan65kbtuh</vt:lpstr>
      <vt:lpstr>ComputerRoomACGlycolCooledDownflow65to240kbtuh</vt:lpstr>
      <vt:lpstr>ComputerRoomACGlycolCooledDownflowGreaterThan240kbtuh</vt:lpstr>
      <vt:lpstr>ComputerRoomACGlycolCooledDownflowLessthan65kbtuh</vt:lpstr>
      <vt:lpstr>ComputerRoomACGlycolCooledUpflow65to240kbtuh</vt:lpstr>
      <vt:lpstr>ComputerRoomACGlycolCooledUpflowGreaterThan240kbtuh</vt:lpstr>
      <vt:lpstr>ComputerRoomACGlycolCooledUpflowLessthan65kbtuh</vt:lpstr>
      <vt:lpstr>ComputerRoomACGlycolCooledwithFluidEconomizerDownflow65to240kbtuh</vt:lpstr>
      <vt:lpstr>ComputerRoomACGlycolCooledwithFluidEconomizerDownflowGreaterThan240kbtuh</vt:lpstr>
      <vt:lpstr>ComputerRoomACGlycolCooledwithFluidEconomizerDownflowLessthan65kbtuh</vt:lpstr>
      <vt:lpstr>ComputerRoomACGlycolCooledwithFluidEconomizerUpflow65to240kbtuh</vt:lpstr>
      <vt:lpstr>ComputerRoomACGlycolCooledwithFluidEconomizerUpflowGreaterThan240kbtuh</vt:lpstr>
      <vt:lpstr>ComputerRoomACGlycolCooledwithFluidEconomizerUpflowLessthan65kbtuh</vt:lpstr>
      <vt:lpstr>ComputerRoomACWaterCooledDownflow65to240kbtuh</vt:lpstr>
      <vt:lpstr>ComputerRoomACWaterCooledDownflowGreaterThan240kbtuh</vt:lpstr>
      <vt:lpstr>ComputerRoomACWaterCooledDownflowLessthan65kbtuh</vt:lpstr>
      <vt:lpstr>ComputerRoomACWaterCooledUpflow65to240kbtuh</vt:lpstr>
      <vt:lpstr>ComputerRoomACWaterCooledUpflowGreaterThan240kbtuh</vt:lpstr>
      <vt:lpstr>ComputerRoomACWaterCooledUpflowLessthan65kbtuh</vt:lpstr>
      <vt:lpstr>ComputerRoomACWaterCooledwithFluidEconomizerDownflow65to240kbtuh</vt:lpstr>
      <vt:lpstr>ComputerRoomACWaterCooledwithFluidEconomizerDownflowGreaterThan240kbtuh</vt:lpstr>
      <vt:lpstr>ComputerRoomACWaterCooledwithFluidEconomizerDownflowLessthan65kbtuh</vt:lpstr>
      <vt:lpstr>ComputerRoomACWaterCooledwithFluidEconomizerUpflow65to240kbtuh</vt:lpstr>
      <vt:lpstr>ComputerRoomACWaterCooledwithFluidEconomizerUpflowGreaterThan240kbtuh</vt:lpstr>
      <vt:lpstr>ComputerRoomACWaterCooledwithFluidEconomizerUpflowLessthan65kbtuh</vt:lpstr>
      <vt:lpstr>CPSInspection</vt:lpstr>
      <vt:lpstr>CPSPrograms</vt:lpstr>
      <vt:lpstr>discount</vt:lpstr>
      <vt:lpstr>DSMTEnviro</vt:lpstr>
      <vt:lpstr>EAID</vt:lpstr>
      <vt:lpstr>ERNo</vt:lpstr>
      <vt:lpstr>ERYes</vt:lpstr>
      <vt:lpstr>escalation</vt:lpstr>
      <vt:lpstr>GeothermalAirConditioner</vt:lpstr>
      <vt:lpstr>GeothermalAirConditionerEvaporativelyCooledElecResorNone135to240kbtuh</vt:lpstr>
      <vt:lpstr>GeothermalAirConditionerEvaporativelyCooledElecResorNone240to760kbtuh</vt:lpstr>
      <vt:lpstr>GeothermalAirConditionerEvaporativelyCooledElecResorNone65to135kbtuh</vt:lpstr>
      <vt:lpstr>GeothermalAirConditionerEvaporativelyCooledElecResorNoneGreaterthan760kbtuh</vt:lpstr>
      <vt:lpstr>GeothermalAirConditionerEvaporativelyCooledElecResorNoneLessthan65kbtuh</vt:lpstr>
      <vt:lpstr>GeothermalAirConditionerEvaporativelyCooledOther135to240kbtuh</vt:lpstr>
      <vt:lpstr>GeothermalAirConditionerEvaporativelyCooledOther240to760kbtuh</vt:lpstr>
      <vt:lpstr>GeothermalAirConditionerEvaporativelyCooledOther65to135kbtuh</vt:lpstr>
      <vt:lpstr>GeothermalAirConditionerEvaporativelyCooledOtherGreaterthan760kbtuh</vt:lpstr>
      <vt:lpstr>GeothermalAirConditionerEvaporativelyCooledOtherLessthan65kbtuh</vt:lpstr>
      <vt:lpstr>GeothermalAirConditionerHeatingType</vt:lpstr>
      <vt:lpstr>GeothermalAirConditionerWaterCooledElecResorNone135to240kbtuh</vt:lpstr>
      <vt:lpstr>GeothermalAirConditionerWaterCooledElecResorNone240to760kbtuh</vt:lpstr>
      <vt:lpstr>GeothermalAirConditionerWaterCooledElecResorNone65to135kbtuh</vt:lpstr>
      <vt:lpstr>GeothermalAirConditionerWaterCooledElecResorNoneGreaterthan760kbtuh</vt:lpstr>
      <vt:lpstr>GeothermalAirConditionerWaterCooledElecResorNoneLessthan65kbtuh</vt:lpstr>
      <vt:lpstr>GeothermalAirConditionerWaterCooledOther135to240kbtuh</vt:lpstr>
      <vt:lpstr>GeothermalAirConditionerWaterCooledOther240to760kbtuh</vt:lpstr>
      <vt:lpstr>GeothermalAirConditionerWaterCooledOther65to135kbtuh</vt:lpstr>
      <vt:lpstr>GeothermalAirConditionerWaterCooledOtherGreaterthan760kbtuh</vt:lpstr>
      <vt:lpstr>GeothermalAirConditionerWaterCooledOtherLessthan65kbtuh</vt:lpstr>
      <vt:lpstr>GeothermalHeatPump</vt:lpstr>
      <vt:lpstr>GeothermalHeatPumpBrinetoAirGroundLoop65to135kbtuh</vt:lpstr>
      <vt:lpstr>GeothermalHeatPumpBrinetoAirGroundLoopLessthan65kbtuh</vt:lpstr>
      <vt:lpstr>GeothermalHeatPumpBrinetoWaterGroundLoop65to135kbtuh</vt:lpstr>
      <vt:lpstr>GeothermalHeatPumpBrinetoWaterGroundLoopLessthan65kbtuh</vt:lpstr>
      <vt:lpstr>GeothermalHeatPumpWatertoAirGroundWater65to135kbtuh</vt:lpstr>
      <vt:lpstr>GeothermalHeatPumpWatertoAirGroundWaterLessthan65kbtuh</vt:lpstr>
      <vt:lpstr>GeothermalHeatPumpWatertoAirWaterLoop17to65kbtuh</vt:lpstr>
      <vt:lpstr>GeothermalHeatPumpWatertoAirWaterLoop65to135kbtuh</vt:lpstr>
      <vt:lpstr>GeothermalHeatPumpWatertoAirWaterLoopLessthan17kbtuh</vt:lpstr>
      <vt:lpstr>GeothermalHeatPumpWatertoWaterGroundWater65to135kbtuh</vt:lpstr>
      <vt:lpstr>GeothermalHeatPumpWatertoWaterGroundWaterLessthan65kbtuh</vt:lpstr>
      <vt:lpstr>GeothermalHeatPumpWatertoWaterWaterLoop65to135kbtuh</vt:lpstr>
      <vt:lpstr>GeothermalHeatPumpWatertoWaterWaterLoopLessthan65kbtuh</vt:lpstr>
      <vt:lpstr>kWhOverride</vt:lpstr>
      <vt:lpstr>ManufYear</vt:lpstr>
      <vt:lpstr>OGEARPrograms</vt:lpstr>
      <vt:lpstr>OGEOKPrograms</vt:lpstr>
      <vt:lpstr>OKCounties</vt:lpstr>
      <vt:lpstr>OKEquipmentType</vt:lpstr>
      <vt:lpstr>OKUtilities</vt:lpstr>
      <vt:lpstr>OtherInspection</vt:lpstr>
      <vt:lpstr>PackagedTerminalAirConditioner</vt:lpstr>
      <vt:lpstr>PackagedTerminalAirConditionerNonStandardSize7kbtuhto15kbtuh</vt:lpstr>
      <vt:lpstr>PackagedTerminalAirConditionerNonStandardSizeGreaterthan15kbtuh</vt:lpstr>
      <vt:lpstr>PackagedTerminalAirConditionerNonStandardSizeLessthan7kbtuh</vt:lpstr>
      <vt:lpstr>PackagedTerminalAirConditionerStandardSize7kbtuhto15kbtuh</vt:lpstr>
      <vt:lpstr>PackagedTerminalAirConditionerStandardSizeGreaterthan15kbtuh</vt:lpstr>
      <vt:lpstr>PackagedTerminalAirConditionerStandardSizeLessthan7kbtuh</vt:lpstr>
      <vt:lpstr>PackagedTerminalHeatPump</vt:lpstr>
      <vt:lpstr>PackagedTerminalHeatPumpNonStandardSize7kbtuhto15kbtuh</vt:lpstr>
      <vt:lpstr>PackagedTerminalHeatPumpNonStandardSizeGreaterthan15kbtuh</vt:lpstr>
      <vt:lpstr>PackagedTerminalHeatPumpNonStandardSizeLessthan7kbtuh</vt:lpstr>
      <vt:lpstr>PackagedTerminalHeatPumpStandardSize7kbtuhto15kbtuh</vt:lpstr>
      <vt:lpstr>PackagedTerminalHeatPumpStandardSizeGreaterthan15kbtuh</vt:lpstr>
      <vt:lpstr>PackagedTerminalHeatPumpStandardSizeLessthan7kbtuh</vt:lpstr>
      <vt:lpstr>Report!Print_Area</vt:lpstr>
      <vt:lpstr>ProjectCost</vt:lpstr>
      <vt:lpstr>ReplacementType</vt:lpstr>
      <vt:lpstr>RoomAirConditioner</vt:lpstr>
      <vt:lpstr>RoomAirConditionerCasementOnlyAll</vt:lpstr>
      <vt:lpstr>RoomAirConditionerCasementSliderAll</vt:lpstr>
      <vt:lpstr>RoomAirConditionerWithoutReverseCycleWithLouveredSides14to20kbtuh</vt:lpstr>
      <vt:lpstr>RoomAirConditionerWithoutReverseCycleWithLouveredSides20to25kbtuh</vt:lpstr>
      <vt:lpstr>RoomAirConditionerWithoutReverseCycleWithLouveredSides8to14kbtuh</vt:lpstr>
      <vt:lpstr>RoomAirConditionerWithoutReverseCycleWithLouveredSidesGreaterthan25kbtuh</vt:lpstr>
      <vt:lpstr>RoomAirConditionerWithoutReverseCycleWithLouveredSidesLessthan8kbtuh</vt:lpstr>
      <vt:lpstr>RoomAirConditionerWithoutReverseCycleWithoutLouveredSides11to14kbtuh</vt:lpstr>
      <vt:lpstr>RoomAirConditionerWithoutReverseCycleWithoutLouveredSides14to20kbtuh</vt:lpstr>
      <vt:lpstr>RoomAirConditionerWithoutReverseCycleWithoutLouveredSides8to11kbtuh</vt:lpstr>
      <vt:lpstr>RoomAirConditionerWithoutReverseCycleWithoutLouveredSidesGreaterthan20kbtuh</vt:lpstr>
      <vt:lpstr>RoomAirConditionerWithoutReverseCycleWithoutLouveredSidesLessthan8kbtuh</vt:lpstr>
      <vt:lpstr>RoomAirConditionerWithReverseCycleWithLouveredSidesGreaterthan20kbtuh</vt:lpstr>
      <vt:lpstr>RoomAirConditionerWithReverseCycleWithLouveredSidesLessthan20kbtuh</vt:lpstr>
      <vt:lpstr>RoomAirConditionerWithReverseCycleWithoutLouveredSidesGreaterthan14kbtuh</vt:lpstr>
      <vt:lpstr>RoomAirConditionerWithReverseCycleWithoutLouveredSidesLessthan14kbtuh</vt:lpstr>
      <vt:lpstr>SelectedZone</vt:lpstr>
      <vt:lpstr>SinglePackageVerticalAirConditioner135to240kbtuh</vt:lpstr>
      <vt:lpstr>SinglePackageVerticalAirConditioner65to135kbtuh</vt:lpstr>
      <vt:lpstr>SinglePackageVerticalAirConditionerLessthan65kbtuh</vt:lpstr>
      <vt:lpstr>SinglePackageVerticalHeatPump135to240kbtuh</vt:lpstr>
      <vt:lpstr>SinglePackageVerticalHeatPump65to135kbtuh</vt:lpstr>
      <vt:lpstr>SinglePackageVerticalHeatPumpLessthan65kbtuh</vt:lpstr>
      <vt:lpstr>State</vt:lpstr>
      <vt:lpstr>TRM</vt:lpstr>
      <vt:lpstr>TXBuildingType</vt:lpstr>
      <vt:lpstr>TXCounties</vt:lpstr>
      <vt:lpstr>TXEqDataCenter</vt:lpstr>
      <vt:lpstr>TXEqEducationCollegeUniversity</vt:lpstr>
      <vt:lpstr>TXEqEducationPrimarySchool</vt:lpstr>
      <vt:lpstr>TXEqEducationSecondarySchool</vt:lpstr>
      <vt:lpstr>TXEqFoodSalesConvenience</vt:lpstr>
      <vt:lpstr>TXEqFoodSalesSupermarket</vt:lpstr>
      <vt:lpstr>TXEqFoodService24hrFullServiceRest</vt:lpstr>
      <vt:lpstr>TXEqFoodService24hrQuickServiceRest</vt:lpstr>
      <vt:lpstr>TXEqFoodServiceFullServiceRestaurant</vt:lpstr>
      <vt:lpstr>TXEqFoodServiceQuickServiceRestaurant</vt:lpstr>
      <vt:lpstr>TXEqHealthcareHospital</vt:lpstr>
      <vt:lpstr>TXEqHealthcareOutpatient</vt:lpstr>
      <vt:lpstr>TXEqLargeMultifamilyMidriseApartment</vt:lpstr>
      <vt:lpstr>TXEqLodgingLargeHotel</vt:lpstr>
      <vt:lpstr>TXEqLodgingNursingHome</vt:lpstr>
      <vt:lpstr>TXEqLodgingSmallHotel</vt:lpstr>
      <vt:lpstr>TXEqManufacturing</vt:lpstr>
      <vt:lpstr>TXEqMercantile24hrStandAlone</vt:lpstr>
      <vt:lpstr>TXEqMercantileStandAlone</vt:lpstr>
      <vt:lpstr>TXEqMercantileStripMall</vt:lpstr>
      <vt:lpstr>TXEqOfficeLarge</vt:lpstr>
      <vt:lpstr>TXEqOfficeMedium</vt:lpstr>
      <vt:lpstr>TXEqOfficeSmall</vt:lpstr>
      <vt:lpstr>TXEqOther</vt:lpstr>
      <vt:lpstr>TXEqPublicAssembly</vt:lpstr>
      <vt:lpstr>TXEqReligiousWorship</vt:lpstr>
      <vt:lpstr>TXEqService</vt:lpstr>
      <vt:lpstr>TXEqWarehouse</vt:lpstr>
      <vt:lpstr>TXUtilities</vt:lpstr>
      <vt:lpstr>UnitaryAirConditioner</vt:lpstr>
      <vt:lpstr>UnitaryAirConditioner135to240kbtuh</vt:lpstr>
      <vt:lpstr>UnitaryAirConditioner240to760kbtuh</vt:lpstr>
      <vt:lpstr>UnitaryAirConditioner65to135kbtuh</vt:lpstr>
      <vt:lpstr>UnitaryAirConditionerElecResorNone135to240kbtuh</vt:lpstr>
      <vt:lpstr>UnitaryAirConditionerElecResorNone240to760kbtuh</vt:lpstr>
      <vt:lpstr>UnitaryAirConditionerElecResorNone65to135kbtuh</vt:lpstr>
      <vt:lpstr>UnitaryAirConditionerElecResorNoneGreaterThan760kbtuh</vt:lpstr>
      <vt:lpstr>UnitaryAirConditionerGreaterthan760kbtuh</vt:lpstr>
      <vt:lpstr>UnitaryAirConditionerHeatingType</vt:lpstr>
      <vt:lpstr>UnitaryAirConditionerOther135to240kbtuh</vt:lpstr>
      <vt:lpstr>UnitaryAirConditionerOther240to760kbtuh</vt:lpstr>
      <vt:lpstr>UnitaryAirConditionerOther65to135kbtuh</vt:lpstr>
      <vt:lpstr>UnitaryAirConditionerOtherGreaterThan760kbtuh</vt:lpstr>
      <vt:lpstr>UnitaryAirConditionerPackaged45to65kbtuh</vt:lpstr>
      <vt:lpstr>UnitaryAirConditionerPackagedLessthan45kbtuh</vt:lpstr>
      <vt:lpstr>UnitaryAirConditionerSplit45to65kbtuh</vt:lpstr>
      <vt:lpstr>UnitaryAirConditionerSplitLessthan45kbtuh</vt:lpstr>
      <vt:lpstr>UnitaryHeatPump</vt:lpstr>
      <vt:lpstr>UnitaryHeatPump135to240kbtuh</vt:lpstr>
      <vt:lpstr>UnitaryHeatPump240to760kbtuh</vt:lpstr>
      <vt:lpstr>UnitaryHeatPump65to135kbtuh</vt:lpstr>
      <vt:lpstr>UnitaryHeatPumpElecResorNone135to240kbtuh</vt:lpstr>
      <vt:lpstr>UnitaryHeatPumpElecResorNone240to760kbtuh</vt:lpstr>
      <vt:lpstr>UnitaryHeatPumpElecResorNone65to135kbtuh</vt:lpstr>
      <vt:lpstr>UnitaryHeatPumpElecResorNoneGreaterthan760kbtuh</vt:lpstr>
      <vt:lpstr>UnitaryHeatPumpGreaterthan760kbtuh</vt:lpstr>
      <vt:lpstr>UnitaryHeatPumpHeatingType</vt:lpstr>
      <vt:lpstr>UnitaryHeatPumpOther135to240kbtuh</vt:lpstr>
      <vt:lpstr>UnitaryHeatPumpOther240to760kbtuh</vt:lpstr>
      <vt:lpstr>UnitaryHeatPumpOther65to135kbtuh</vt:lpstr>
      <vt:lpstr>UnitaryHeatPumpOtherGreaterthan760kbtuh</vt:lpstr>
      <vt:lpstr>UnitaryHeatPumpPackaged45to65kbtuh</vt:lpstr>
      <vt:lpstr>UnitaryHeatPumpPackagedLessthan45kbtuh</vt:lpstr>
      <vt:lpstr>UnitaryHeatPumpSplit45to65kbtuh</vt:lpstr>
      <vt:lpstr>UnitaryHeatPumpSplitLessthan45kbtuh</vt:lpstr>
      <vt:lpstr>Utility</vt:lpstr>
      <vt:lpstr>Version</vt:lpstr>
      <vt:lpstr>VRFAirConditioner135to240kbtuh</vt:lpstr>
      <vt:lpstr>VRFAirConditioner65to135kbtuh</vt:lpstr>
      <vt:lpstr>VRFAirConditionerGreaterThan240kbtuh</vt:lpstr>
      <vt:lpstr>VRFAirConditionerLessthan65kbtuh</vt:lpstr>
      <vt:lpstr>VRFHeatPump</vt:lpstr>
      <vt:lpstr>VRFHeatPumpLessthan65kbtuh</vt:lpstr>
      <vt:lpstr>VRFHeatPumpWithHeatRecovery135to240kbtuh</vt:lpstr>
      <vt:lpstr>VRFHeatPumpWithHeatRecovery65to135kbtuh</vt:lpstr>
      <vt:lpstr>VRFHeatPumpWithHeatRecoveryGreaterthan240kbtuh</vt:lpstr>
      <vt:lpstr>VRFHeatPumpWithoutHeatRecovery135to240kbtuh</vt:lpstr>
      <vt:lpstr>VRFHeatPumpWithoutHeatRecovery65to135kbtuh</vt:lpstr>
      <vt:lpstr>VRFHeatPumpWithoutHeatRecoveryGreaterthan240kbtuh</vt:lpstr>
      <vt:lpstr>WaterCooledChiller</vt:lpstr>
      <vt:lpstr>WaterCooledChillerCentrifugalA150to300tons</vt:lpstr>
      <vt:lpstr>WaterCooledChillerCentrifugalA300to400tons</vt:lpstr>
      <vt:lpstr>WaterCooledChillerCentrifugalA400to600tons</vt:lpstr>
      <vt:lpstr>WaterCooledChillerCentrifugalAGreaterthan600tons</vt:lpstr>
      <vt:lpstr>WaterCooledChillerCentrifugalALessthan150tons</vt:lpstr>
      <vt:lpstr>WaterCooledChillerCentrifugalB150to300tons</vt:lpstr>
      <vt:lpstr>WaterCooledChillerCentrifugalB300to400tons</vt:lpstr>
      <vt:lpstr>WaterCooledChillerCentrifugalB400to600tons</vt:lpstr>
      <vt:lpstr>WaterCooledChillerCentrifugalBGreaterthan600tons</vt:lpstr>
      <vt:lpstr>WaterCooledChillerCentrifugalBLessthan150tons</vt:lpstr>
      <vt:lpstr>WaterCooledChillerScrewScrollReciprocatingA150to300tons</vt:lpstr>
      <vt:lpstr>WaterCooledChillerScrewScrollReciprocatingA300to600tons</vt:lpstr>
      <vt:lpstr>WaterCooledChillerScrewScrollReciprocatingA75to150tons</vt:lpstr>
      <vt:lpstr>WaterCooledChillerScrewScrollReciprocatingAGreaterthan600tons</vt:lpstr>
      <vt:lpstr>WaterCooledChillerScrewScrollReciprocatingALessthan75tons</vt:lpstr>
      <vt:lpstr>WaterCooledChillerScrewScrollReciprocatingB150to300tons</vt:lpstr>
      <vt:lpstr>WaterCooledChillerScrewScrollReciprocatingB300to600tons</vt:lpstr>
      <vt:lpstr>WaterCooledChillerScrewScrollReciprocatingB75to150tons</vt:lpstr>
      <vt:lpstr>WaterCooledChillerScrewScrollReciprocatingBGreaterthan600tons</vt:lpstr>
      <vt:lpstr>WaterCooledChillerScrewScrollReciprocatingBLessthan75tons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Alicia Reich</dc:creator>
  <cp:lastModifiedBy>Alex Butterwick</cp:lastModifiedBy>
  <cp:lastPrinted>2017-05-05T16:49:35Z</cp:lastPrinted>
  <dcterms:created xsi:type="dcterms:W3CDTF">2012-03-29T18:30:01Z</dcterms:created>
  <dcterms:modified xsi:type="dcterms:W3CDTF">2026-06-01T20:43:28Z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dlc_DocIdItemGuid">
    <vt:lpwstr>e8c07e19-3668-457c-85d2-9168ce9c2b7b</vt:lpwstr>
  </property>
  <property fmtid="{D5CDD505-2E9C-101B-9397-08002B2CF9AE}" pid="4" name="ContentTypeId">
    <vt:lpwstr>0x010100EE7B1530E4424C4DB9612FE8537D17B8</vt:lpwstr>
  </property>
  <property fmtid="{D5CDD505-2E9C-101B-9397-08002B2CF9AE}" pid="5" name="Order">
    <vt:r8>21900</vt:r8>
  </property>
  <property fmtid="{D5CDD505-2E9C-101B-9397-08002B2CF9AE}" pid="6" name="URL">
    <vt:lpwstr/>
  </property>
  <property fmtid="{D5CDD505-2E9C-101B-9397-08002B2CF9AE}" pid="7" name="Measure">
    <vt:lpwstr/>
  </property>
  <property fmtid="{D5CDD505-2E9C-101B-9397-08002B2CF9AE}" pid="8" name="Description0">
    <vt:lpwstr/>
  </property>
  <property fmtid="{D5CDD505-2E9C-101B-9397-08002B2CF9AE}" pid="9" name="xd_ProgID">
    <vt:lpwstr/>
  </property>
  <property fmtid="{D5CDD505-2E9C-101B-9397-08002B2CF9AE}" pid="10" name="TemplateUrl">
    <vt:lpwstr/>
  </property>
  <property fmtid="{D5CDD505-2E9C-101B-9397-08002B2CF9AE}" pid="11" name="IconOverlay">
    <vt:lpwstr/>
  </property>
  <property fmtid="{D5CDD505-2E9C-101B-9397-08002B2CF9AE}" pid="12" name="MediaServiceImageTags">
    <vt:lpwstr/>
  </property>
  <property fmtid="{D5CDD505-2E9C-101B-9397-08002B2CF9AE}" pid="13" name="_AdHocReviewCycleID">
    <vt:i4>923152452</vt:i4>
  </property>
  <property fmtid="{D5CDD505-2E9C-101B-9397-08002B2CF9AE}" pid="14" name="_EmailSubject">
    <vt:lpwstr>CPS HVAC Calculator v26.1 – New Release</vt:lpwstr>
  </property>
  <property fmtid="{D5CDD505-2E9C-101B-9397-08002B2CF9AE}" pid="15" name="_AuthorEmail">
    <vt:lpwstr>alex.butterwick@clearesult.com</vt:lpwstr>
  </property>
  <property fmtid="{D5CDD505-2E9C-101B-9397-08002B2CF9AE}" pid="16" name="_AuthorEmailDisplayName">
    <vt:lpwstr>Alex Butterwick</vt:lpwstr>
  </property>
</Properties>
</file>